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3040" windowHeight="9384"/>
  </bookViews>
  <sheets>
    <sheet name="Смета" sheetId="1" r:id="rId1"/>
  </sheets>
  <definedNames>
    <definedName name="_xlnm.Print_Titles" localSheetId="0">Смета!$1:$1</definedName>
  </definedNames>
  <calcPr calcId="152511"/>
</workbook>
</file>

<file path=xl/calcChain.xml><?xml version="1.0" encoding="utf-8"?>
<calcChain xmlns="http://schemas.openxmlformats.org/spreadsheetml/2006/main">
  <c r="M107" i="1" l="1"/>
  <c r="L107" i="1"/>
  <c r="K107" i="1"/>
  <c r="J107" i="1"/>
  <c r="I107" i="1"/>
  <c r="H107" i="1"/>
  <c r="N107" i="1" s="1"/>
  <c r="O107" i="1" s="1"/>
  <c r="M106" i="1"/>
  <c r="L106" i="1"/>
  <c r="K106" i="1"/>
  <c r="J106" i="1"/>
  <c r="I106" i="1"/>
  <c r="H106" i="1"/>
  <c r="N106" i="1" s="1"/>
  <c r="O106" i="1" s="1"/>
  <c r="M103" i="1"/>
  <c r="L103" i="1"/>
  <c r="K103" i="1"/>
  <c r="J103" i="1"/>
  <c r="I103" i="1"/>
  <c r="H103" i="1"/>
  <c r="N103" i="1" s="1"/>
  <c r="O103" i="1" s="1"/>
  <c r="M102" i="1"/>
  <c r="L102" i="1"/>
  <c r="K102" i="1"/>
  <c r="J102" i="1"/>
  <c r="I102" i="1"/>
  <c r="H102" i="1"/>
  <c r="N102" i="1" s="1"/>
  <c r="O102" i="1" s="1"/>
  <c r="M101" i="1"/>
  <c r="L101" i="1"/>
  <c r="K101" i="1"/>
  <c r="J101" i="1"/>
  <c r="I101" i="1"/>
  <c r="H101" i="1"/>
  <c r="N101" i="1" s="1"/>
  <c r="O101" i="1" s="1"/>
  <c r="M99" i="1"/>
  <c r="L99" i="1"/>
  <c r="K99" i="1"/>
  <c r="J99" i="1"/>
  <c r="I99" i="1"/>
  <c r="H99" i="1"/>
  <c r="N99" i="1" s="1"/>
  <c r="O99" i="1" s="1"/>
  <c r="M97" i="1"/>
  <c r="L97" i="1"/>
  <c r="K97" i="1"/>
  <c r="J97" i="1"/>
  <c r="I97" i="1"/>
  <c r="H97" i="1"/>
  <c r="N97" i="1" s="1"/>
  <c r="O97" i="1" s="1"/>
  <c r="M95" i="1"/>
  <c r="L95" i="1"/>
  <c r="K95" i="1"/>
  <c r="J95" i="1"/>
  <c r="I95" i="1"/>
  <c r="H95" i="1"/>
  <c r="N95" i="1" s="1"/>
  <c r="O95" i="1" s="1"/>
  <c r="M94" i="1"/>
  <c r="L94" i="1"/>
  <c r="K94" i="1"/>
  <c r="J94" i="1"/>
  <c r="I94" i="1"/>
  <c r="H94" i="1"/>
  <c r="N94" i="1" s="1"/>
  <c r="O94" i="1" s="1"/>
  <c r="M93" i="1"/>
  <c r="L93" i="1"/>
  <c r="K93" i="1"/>
  <c r="J93" i="1"/>
  <c r="I93" i="1"/>
  <c r="H93" i="1"/>
  <c r="N93" i="1" s="1"/>
  <c r="O93" i="1" s="1"/>
  <c r="M89" i="1"/>
  <c r="L89" i="1"/>
  <c r="K89" i="1"/>
  <c r="J89" i="1"/>
  <c r="I89" i="1"/>
  <c r="H89" i="1"/>
  <c r="N89" i="1" s="1"/>
  <c r="O89" i="1" s="1"/>
  <c r="M88" i="1"/>
  <c r="L88" i="1"/>
  <c r="K88" i="1"/>
  <c r="J88" i="1"/>
  <c r="I88" i="1"/>
  <c r="H88" i="1"/>
  <c r="N88" i="1" s="1"/>
  <c r="O88" i="1" s="1"/>
  <c r="M87" i="1"/>
  <c r="L87" i="1"/>
  <c r="K87" i="1"/>
  <c r="J87" i="1"/>
  <c r="I87" i="1"/>
  <c r="H87" i="1"/>
  <c r="N87" i="1" s="1"/>
  <c r="O87" i="1" s="1"/>
  <c r="M85" i="1"/>
  <c r="L85" i="1"/>
  <c r="K85" i="1"/>
  <c r="J85" i="1"/>
  <c r="I85" i="1"/>
  <c r="H85" i="1"/>
  <c r="N85" i="1" s="1"/>
  <c r="O85" i="1" s="1"/>
  <c r="M82" i="1"/>
  <c r="L82" i="1"/>
  <c r="K82" i="1"/>
  <c r="J82" i="1"/>
  <c r="I82" i="1"/>
  <c r="H82" i="1"/>
  <c r="N82" i="1" s="1"/>
  <c r="O82" i="1" s="1"/>
  <c r="M81" i="1"/>
  <c r="L81" i="1"/>
  <c r="K81" i="1"/>
  <c r="J81" i="1"/>
  <c r="I81" i="1"/>
  <c r="H81" i="1"/>
  <c r="N81" i="1" s="1"/>
  <c r="O81" i="1" s="1"/>
  <c r="M79" i="1"/>
  <c r="L79" i="1"/>
  <c r="K79" i="1"/>
  <c r="J79" i="1"/>
  <c r="I79" i="1"/>
  <c r="H79" i="1"/>
  <c r="N79" i="1" s="1"/>
  <c r="O79" i="1" s="1"/>
  <c r="M77" i="1"/>
  <c r="L77" i="1"/>
  <c r="K77" i="1"/>
  <c r="J77" i="1"/>
  <c r="I77" i="1"/>
  <c r="H77" i="1"/>
  <c r="N77" i="1" s="1"/>
  <c r="O77" i="1" s="1"/>
  <c r="M72" i="1"/>
  <c r="L72" i="1"/>
  <c r="K72" i="1"/>
  <c r="J72" i="1"/>
  <c r="I72" i="1"/>
  <c r="H72" i="1"/>
  <c r="N72" i="1" s="1"/>
  <c r="O72" i="1" s="1"/>
  <c r="M70" i="1"/>
  <c r="L70" i="1"/>
  <c r="K70" i="1"/>
  <c r="J70" i="1"/>
  <c r="I70" i="1"/>
  <c r="H70" i="1"/>
  <c r="N70" i="1" s="1"/>
  <c r="O70" i="1" s="1"/>
  <c r="M69" i="1"/>
  <c r="L69" i="1"/>
  <c r="K69" i="1"/>
  <c r="J69" i="1"/>
  <c r="I69" i="1"/>
  <c r="H69" i="1"/>
  <c r="N69" i="1" s="1"/>
  <c r="O69" i="1" s="1"/>
  <c r="M66" i="1"/>
  <c r="L66" i="1"/>
  <c r="K66" i="1"/>
  <c r="J66" i="1"/>
  <c r="I66" i="1"/>
  <c r="H66" i="1"/>
  <c r="N66" i="1" s="1"/>
  <c r="O66" i="1" s="1"/>
  <c r="M64" i="1"/>
  <c r="L64" i="1"/>
  <c r="K64" i="1"/>
  <c r="J64" i="1"/>
  <c r="I64" i="1"/>
  <c r="H64" i="1"/>
  <c r="N64" i="1" s="1"/>
  <c r="O64" i="1" s="1"/>
  <c r="M63" i="1"/>
  <c r="L63" i="1"/>
  <c r="K63" i="1"/>
  <c r="J63" i="1"/>
  <c r="I63" i="1"/>
  <c r="H63" i="1"/>
  <c r="M60" i="1"/>
  <c r="L60" i="1"/>
  <c r="K60" i="1"/>
  <c r="J60" i="1"/>
  <c r="I60" i="1"/>
  <c r="H60" i="1"/>
  <c r="N60" i="1" s="1"/>
  <c r="O60" i="1" s="1"/>
  <c r="M58" i="1"/>
  <c r="L58" i="1"/>
  <c r="K58" i="1"/>
  <c r="J58" i="1"/>
  <c r="I58" i="1"/>
  <c r="H58" i="1"/>
  <c r="M56" i="1"/>
  <c r="L56" i="1"/>
  <c r="K56" i="1"/>
  <c r="J56" i="1"/>
  <c r="I56" i="1"/>
  <c r="H56" i="1"/>
  <c r="N56" i="1" s="1"/>
  <c r="O56" i="1" s="1"/>
  <c r="M55" i="1"/>
  <c r="L55" i="1"/>
  <c r="K55" i="1"/>
  <c r="J55" i="1"/>
  <c r="I55" i="1"/>
  <c r="H55" i="1"/>
  <c r="M54" i="1"/>
  <c r="L54" i="1"/>
  <c r="K54" i="1"/>
  <c r="J54" i="1"/>
  <c r="I54" i="1"/>
  <c r="H54" i="1"/>
  <c r="N54" i="1" s="1"/>
  <c r="O54" i="1" s="1"/>
  <c r="M53" i="1"/>
  <c r="L53" i="1"/>
  <c r="K53" i="1"/>
  <c r="J53" i="1"/>
  <c r="I53" i="1"/>
  <c r="H53" i="1"/>
  <c r="M52" i="1"/>
  <c r="L52" i="1"/>
  <c r="K52" i="1"/>
  <c r="J52" i="1"/>
  <c r="I52" i="1"/>
  <c r="H52" i="1"/>
  <c r="N52" i="1" s="1"/>
  <c r="O52" i="1" s="1"/>
  <c r="M49" i="1"/>
  <c r="L49" i="1"/>
  <c r="K49" i="1"/>
  <c r="J49" i="1"/>
  <c r="I49" i="1"/>
  <c r="H49" i="1"/>
  <c r="M48" i="1"/>
  <c r="L48" i="1"/>
  <c r="K48" i="1"/>
  <c r="J48" i="1"/>
  <c r="I48" i="1"/>
  <c r="H48" i="1"/>
  <c r="N48" i="1" s="1"/>
  <c r="O48" i="1" s="1"/>
  <c r="M46" i="1"/>
  <c r="L46" i="1"/>
  <c r="K46" i="1"/>
  <c r="J46" i="1"/>
  <c r="I46" i="1"/>
  <c r="H46" i="1"/>
  <c r="M44" i="1"/>
  <c r="L44" i="1"/>
  <c r="K44" i="1"/>
  <c r="J44" i="1"/>
  <c r="I44" i="1"/>
  <c r="H44" i="1"/>
  <c r="N44" i="1" s="1"/>
  <c r="O44" i="1" s="1"/>
  <c r="M41" i="1"/>
  <c r="L41" i="1"/>
  <c r="K41" i="1"/>
  <c r="J41" i="1"/>
  <c r="I41" i="1"/>
  <c r="H41" i="1"/>
  <c r="M40" i="1"/>
  <c r="L40" i="1"/>
  <c r="K40" i="1"/>
  <c r="J40" i="1"/>
  <c r="I40" i="1"/>
  <c r="H40" i="1"/>
  <c r="N40" i="1" s="1"/>
  <c r="O40" i="1" s="1"/>
  <c r="M37" i="1"/>
  <c r="L37" i="1"/>
  <c r="K37" i="1"/>
  <c r="J37" i="1"/>
  <c r="I37" i="1"/>
  <c r="H37" i="1"/>
  <c r="M34" i="1"/>
  <c r="L34" i="1"/>
  <c r="K34" i="1"/>
  <c r="J34" i="1"/>
  <c r="I34" i="1"/>
  <c r="H34" i="1"/>
  <c r="N34" i="1" s="1"/>
  <c r="O34" i="1" s="1"/>
  <c r="M30" i="1"/>
  <c r="L30" i="1"/>
  <c r="K30" i="1"/>
  <c r="J30" i="1"/>
  <c r="I30" i="1"/>
  <c r="H30" i="1"/>
  <c r="M29" i="1"/>
  <c r="L29" i="1"/>
  <c r="K29" i="1"/>
  <c r="J29" i="1"/>
  <c r="I29" i="1"/>
  <c r="H29" i="1"/>
  <c r="N29" i="1" s="1"/>
  <c r="O29" i="1" s="1"/>
  <c r="M26" i="1"/>
  <c r="L26" i="1"/>
  <c r="K26" i="1"/>
  <c r="J26" i="1"/>
  <c r="I26" i="1"/>
  <c r="H26" i="1"/>
  <c r="M25" i="1"/>
  <c r="L25" i="1"/>
  <c r="K25" i="1"/>
  <c r="J25" i="1"/>
  <c r="I25" i="1"/>
  <c r="H25" i="1"/>
  <c r="N25" i="1" s="1"/>
  <c r="O25" i="1" s="1"/>
  <c r="M24" i="1"/>
  <c r="L24" i="1"/>
  <c r="K24" i="1"/>
  <c r="J24" i="1"/>
  <c r="I24" i="1"/>
  <c r="H24" i="1"/>
  <c r="M23" i="1"/>
  <c r="L23" i="1"/>
  <c r="K23" i="1"/>
  <c r="J23" i="1"/>
  <c r="I23" i="1"/>
  <c r="H23" i="1"/>
  <c r="N23" i="1" s="1"/>
  <c r="O23" i="1" s="1"/>
  <c r="M22" i="1"/>
  <c r="L22" i="1"/>
  <c r="K22" i="1"/>
  <c r="J22" i="1"/>
  <c r="I22" i="1"/>
  <c r="H22" i="1"/>
  <c r="M20" i="1"/>
  <c r="L20" i="1"/>
  <c r="K20" i="1"/>
  <c r="J20" i="1"/>
  <c r="I20" i="1"/>
  <c r="H20" i="1"/>
  <c r="N20" i="1" s="1"/>
  <c r="O20" i="1" s="1"/>
  <c r="M19" i="1"/>
  <c r="L19" i="1"/>
  <c r="K19" i="1"/>
  <c r="J19" i="1"/>
  <c r="I19" i="1"/>
  <c r="H19" i="1"/>
  <c r="M18" i="1"/>
  <c r="L18" i="1"/>
  <c r="K18" i="1"/>
  <c r="J18" i="1"/>
  <c r="I18" i="1"/>
  <c r="H18" i="1"/>
  <c r="N18" i="1" s="1"/>
  <c r="O18" i="1" s="1"/>
  <c r="M17" i="1"/>
  <c r="L17" i="1"/>
  <c r="K17" i="1"/>
  <c r="J17" i="1"/>
  <c r="I17" i="1"/>
  <c r="H17" i="1"/>
  <c r="M14" i="1"/>
  <c r="L14" i="1"/>
  <c r="K14" i="1"/>
  <c r="J14" i="1"/>
  <c r="I14" i="1"/>
  <c r="H14" i="1"/>
  <c r="N14" i="1" s="1"/>
  <c r="O14" i="1" s="1"/>
  <c r="M12" i="1"/>
  <c r="L12" i="1"/>
  <c r="K12" i="1"/>
  <c r="J12" i="1"/>
  <c r="I12" i="1"/>
  <c r="H12" i="1"/>
  <c r="M11" i="1"/>
  <c r="L11" i="1"/>
  <c r="K11" i="1"/>
  <c r="J11" i="1"/>
  <c r="I11" i="1"/>
  <c r="H11" i="1"/>
  <c r="N11" i="1" s="1"/>
  <c r="O11" i="1" s="1"/>
  <c r="M6" i="1"/>
  <c r="M108" i="1" s="1"/>
  <c r="L6" i="1"/>
  <c r="L108" i="1" s="1"/>
  <c r="K6" i="1"/>
  <c r="K108" i="1" s="1"/>
  <c r="J6" i="1"/>
  <c r="J108" i="1" s="1"/>
  <c r="I6" i="1"/>
  <c r="I108" i="1" s="1"/>
  <c r="H6" i="1"/>
  <c r="H108" i="1" s="1"/>
  <c r="N12" i="1" l="1"/>
  <c r="O12" i="1" s="1"/>
  <c r="N17" i="1"/>
  <c r="O17" i="1" s="1"/>
  <c r="N19" i="1"/>
  <c r="O19" i="1" s="1"/>
  <c r="N22" i="1"/>
  <c r="O22" i="1" s="1"/>
  <c r="N24" i="1"/>
  <c r="O24" i="1" s="1"/>
  <c r="N26" i="1"/>
  <c r="O26" i="1" s="1"/>
  <c r="N30" i="1"/>
  <c r="O30" i="1" s="1"/>
  <c r="N37" i="1"/>
  <c r="O37" i="1" s="1"/>
  <c r="N41" i="1"/>
  <c r="O41" i="1" s="1"/>
  <c r="N46" i="1"/>
  <c r="O46" i="1" s="1"/>
  <c r="N49" i="1"/>
  <c r="O49" i="1" s="1"/>
  <c r="N53" i="1"/>
  <c r="O53" i="1" s="1"/>
  <c r="N55" i="1"/>
  <c r="O55" i="1" s="1"/>
  <c r="N58" i="1"/>
  <c r="O58" i="1" s="1"/>
  <c r="N63" i="1"/>
  <c r="O63" i="1" s="1"/>
  <c r="N6" i="1"/>
  <c r="N108" i="1" l="1"/>
  <c r="O6" i="1"/>
  <c r="O108" i="1" s="1"/>
</calcChain>
</file>

<file path=xl/sharedStrings.xml><?xml version="1.0" encoding="utf-8"?>
<sst xmlns="http://schemas.openxmlformats.org/spreadsheetml/2006/main" count="283" uniqueCount="272">
  <si>
    <t/>
  </si>
  <si>
    <t>№ ПП</t>
  </si>
  <si>
    <t>КОД</t>
  </si>
  <si>
    <t>НАЗВАНИЕ РАБОТЫ</t>
  </si>
  <si>
    <t>ИЗМЕРИТЕЛЬ</t>
  </si>
  <si>
    <t>КОЛ-ВО ЕД. ИЗМ.</t>
  </si>
  <si>
    <t>ПЕРИОДИЧ- НОСТЬ В ГОД</t>
  </si>
  <si>
    <t>ТРУД. РЕСУРСЫ, РУБ.</t>
  </si>
  <si>
    <t>МАТЕР. РЕСУРСЫ, РУБ.</t>
  </si>
  <si>
    <t>МАШ. МЕХ., РУБ.</t>
  </si>
  <si>
    <t>НАКЛ. РАСХОДЫ, РУБ.</t>
  </si>
  <si>
    <t>ПРИБЫЛЬ, РУБ.</t>
  </si>
  <si>
    <t>РАСХОДЫ НА УПРАВ., РУБ.</t>
  </si>
  <si>
    <t>СТОИМОСТЬ, РУБ.</t>
  </si>
  <si>
    <t>НА КВ.М/МЕС</t>
  </si>
  <si>
    <t>1.13 МКД коридорного типа с эл.плитами, уб.МОП и придомовой терр. Попова,32 2026 год</t>
  </si>
  <si>
    <t>Дата изменения:</t>
  </si>
  <si>
    <t>09.12.2025</t>
  </si>
  <si>
    <t>Общая площадь, кв.м:</t>
  </si>
  <si>
    <t>1.1</t>
  </si>
  <si>
    <t>Фундаменты</t>
  </si>
  <si>
    <t>1.1.7</t>
  </si>
  <si>
    <t>Восстановление (ремонт)  освещения и  вентиляции  подвала</t>
  </si>
  <si>
    <t>1.1.7.3</t>
  </si>
  <si>
    <t>Замена ламп накаливания</t>
  </si>
  <si>
    <t>100 шт.</t>
  </si>
  <si>
    <t>1.8</t>
  </si>
  <si>
    <t>Крыши и кровли</t>
  </si>
  <si>
    <t>1.8.2</t>
  </si>
  <si>
    <t>Ремонт, модернизация кровли и крыши</t>
  </si>
  <si>
    <t>1.8.2.3</t>
  </si>
  <si>
    <t>Ремонт, модернизация кровли из штучных материалов</t>
  </si>
  <si>
    <t>1.8.2.3.1</t>
  </si>
  <si>
    <t>Ремонт, модернизация кровли из асбоцементных листов</t>
  </si>
  <si>
    <t>1.8.2.3.1.1</t>
  </si>
  <si>
    <t>Смена поврежденных листов асбоцементных кровель</t>
  </si>
  <si>
    <t>100 м2 сменяемого покрытия</t>
  </si>
  <si>
    <t>1.8.2.8</t>
  </si>
  <si>
    <t>Укрепление стропильных ног</t>
  </si>
  <si>
    <t>1 м укрепляемой конструкции</t>
  </si>
  <si>
    <t>1.8.7</t>
  </si>
  <si>
    <t>Восстановление (ремонт) дымовых и  вентиляционных труб</t>
  </si>
  <si>
    <t>1.8.7.3</t>
  </si>
  <si>
    <t>Прочистка засоренных вентиляционных каналов</t>
  </si>
  <si>
    <t>10 м канала</t>
  </si>
  <si>
    <t>1.9</t>
  </si>
  <si>
    <t>Оконные и дверные проемы</t>
  </si>
  <si>
    <t>1.9.1</t>
  </si>
  <si>
    <t>Восстановление (ремонт) дверей в помещениях  общего  пользования</t>
  </si>
  <si>
    <t>1.9.1.10</t>
  </si>
  <si>
    <t>Смена дверных петель при одной сменяемой петле в полотне</t>
  </si>
  <si>
    <t>10 петель</t>
  </si>
  <si>
    <t>1.9.1.16</t>
  </si>
  <si>
    <t>Смена пружины</t>
  </si>
  <si>
    <t>1 пружина</t>
  </si>
  <si>
    <t>1.9.1.17</t>
  </si>
  <si>
    <t>Смена ручки дверной</t>
  </si>
  <si>
    <t>1 ручка</t>
  </si>
  <si>
    <t>1.9.1.22</t>
  </si>
  <si>
    <t>Простая масляная окраска дверей</t>
  </si>
  <si>
    <t>100 кв.м.</t>
  </si>
  <si>
    <t>1.9.2</t>
  </si>
  <si>
    <t>Восстановление (ремонт)  окон в  помещениях общего  пользования</t>
  </si>
  <si>
    <t>1.9.2.8</t>
  </si>
  <si>
    <t>Ремонт форточек</t>
  </si>
  <si>
    <t>10 форточек</t>
  </si>
  <si>
    <t>1.9.2.23</t>
  </si>
  <si>
    <t>Смена ручки оконной</t>
  </si>
  <si>
    <t>100 ручек</t>
  </si>
  <si>
    <t>1.9.2.25</t>
  </si>
  <si>
    <t>Простая масляная окраска оконных рам</t>
  </si>
  <si>
    <t>1.9.2.31</t>
  </si>
  <si>
    <t>Малый ремонт слухового окна с исправлением обшивки и переплета</t>
  </si>
  <si>
    <t>1 место</t>
  </si>
  <si>
    <t>1.9.2.32</t>
  </si>
  <si>
    <t>Остекление оконным стеклом окон в два переплета открывающихся в разные стороны</t>
  </si>
  <si>
    <t>100 м2 площади проемов по наружному обводу коробок</t>
  </si>
  <si>
    <t>1.10</t>
  </si>
  <si>
    <t>Лестницы</t>
  </si>
  <si>
    <t>1.10.7</t>
  </si>
  <si>
    <t>Прочие работы по ремонту лестниц</t>
  </si>
  <si>
    <t>1.10.7.1</t>
  </si>
  <si>
    <t>Окрашивание масляными составами торцов лестничных маршей и площадок</t>
  </si>
  <si>
    <t>100 м2 окрашенной поверхности</t>
  </si>
  <si>
    <t>1.10.7.2</t>
  </si>
  <si>
    <t>Окрашивание масляными составами деревянных поручней</t>
  </si>
  <si>
    <t>100  м поручня</t>
  </si>
  <si>
    <t>2.1</t>
  </si>
  <si>
    <t>Система теплоснабжения</t>
  </si>
  <si>
    <t>2.1.3</t>
  </si>
  <si>
    <t>Ремонт,  промывка  отопительных  элементов</t>
  </si>
  <si>
    <t>2.1.3.5</t>
  </si>
  <si>
    <t>Прочистка и промывка отопительных приборов</t>
  </si>
  <si>
    <t>2.1.3.5.1</t>
  </si>
  <si>
    <t>Прочистка и промывка отопительных приборов радиаторов весом до 80 кг внутри здания</t>
  </si>
  <si>
    <t>100 приборов</t>
  </si>
  <si>
    <t>2.1.8</t>
  </si>
  <si>
    <t>Ремонт  насосов,  магистральной запорной арматуры,  автоматических устройств</t>
  </si>
  <si>
    <t>2.1.8.8</t>
  </si>
  <si>
    <t>Смена вентиля</t>
  </si>
  <si>
    <t>2.1.8.8.2</t>
  </si>
  <si>
    <t>Смена вентиля диаметром 25 мм</t>
  </si>
  <si>
    <t>100 вентилей</t>
  </si>
  <si>
    <t>2.3</t>
  </si>
  <si>
    <t>Система водоотведения</t>
  </si>
  <si>
    <t>2.3.1</t>
  </si>
  <si>
    <t>Смена отдельных участков трубопроводов канализации из полиэтиленовых труб высокой плотности</t>
  </si>
  <si>
    <t>2.3.1.2</t>
  </si>
  <si>
    <t>Смена горизонтальных участков трубопроводов канализации из полиэтиленовых труб высокой плотности диаметром 100 мм</t>
  </si>
  <si>
    <t>100 м трубопроводов</t>
  </si>
  <si>
    <t>2.3.4</t>
  </si>
  <si>
    <t>Устранение засоров внутренних канализационных трубопроводов</t>
  </si>
  <si>
    <t>100 м трубы</t>
  </si>
  <si>
    <t>2.5</t>
  </si>
  <si>
    <t>Внутридомовое электро-, радио- и телеоборудование</t>
  </si>
  <si>
    <t>2.5.1</t>
  </si>
  <si>
    <t>Ремонт,  замена  шкафов  вводных и  вводно-распределительных устройств</t>
  </si>
  <si>
    <t>2.5.1.4</t>
  </si>
  <si>
    <t>Замена предохранителя</t>
  </si>
  <si>
    <t>1 предохранитель</t>
  </si>
  <si>
    <t>2.5.5</t>
  </si>
  <si>
    <t>Ремонт, замена этажных  щитков и  шкафов</t>
  </si>
  <si>
    <t>2.5.5.2</t>
  </si>
  <si>
    <t>Ремонт щитков</t>
  </si>
  <si>
    <t>1 щит</t>
  </si>
  <si>
    <t>2.5.7</t>
  </si>
  <si>
    <t>Ремонт,  замена  осветительных установок  помещений   общего  пользования</t>
  </si>
  <si>
    <t>2.5.7.1</t>
  </si>
  <si>
    <t>Замена выключателя</t>
  </si>
  <si>
    <t>1 выключатель</t>
  </si>
  <si>
    <t>2.5.10</t>
  </si>
  <si>
    <t>Смена розеток</t>
  </si>
  <si>
    <t>2.6</t>
  </si>
  <si>
    <t>Подготовка многоквартирного дома к сезонной эксплуатации, проведение технических осмотров</t>
  </si>
  <si>
    <t>2.6.8</t>
  </si>
  <si>
    <t>Проведение технических осмотров и мелкий ремонт стен, полов, перекрытий</t>
  </si>
  <si>
    <t>2.6.8.1</t>
  </si>
  <si>
    <t>Осмотр территории вокруг здания и фундамента</t>
  </si>
  <si>
    <t>1000 кв.м. общей площади</t>
  </si>
  <si>
    <t>2.6.8.2</t>
  </si>
  <si>
    <t>Осмотр кирпичных и железобетонных стен, фасадов</t>
  </si>
  <si>
    <t>2.6.8.4</t>
  </si>
  <si>
    <t>Осмотр деревянных перекрытий</t>
  </si>
  <si>
    <t>2.6.8.7</t>
  </si>
  <si>
    <t>Осмотр железобетонных покрытий</t>
  </si>
  <si>
    <t>1000 кв.м. полов</t>
  </si>
  <si>
    <t>2.6.8.8</t>
  </si>
  <si>
    <t>Осмотр внутренней отделки стен</t>
  </si>
  <si>
    <t>2.6.9</t>
  </si>
  <si>
    <t>Осмотр всех элементов кровли, водостоков</t>
  </si>
  <si>
    <t>2.6.9.3</t>
  </si>
  <si>
    <t>Осмотр всех элементов кровель из штучных материалов, водостоков</t>
  </si>
  <si>
    <t>1000 кв.м. кровли</t>
  </si>
  <si>
    <t>2.6.12</t>
  </si>
  <si>
    <t>Проведение технических осмотров и устранение незначительных неисправностей в  системах вентиляции</t>
  </si>
  <si>
    <t>2.6.12.1</t>
  </si>
  <si>
    <t>Проверка наличия тяги в  дымовентиляционных каналах</t>
  </si>
  <si>
    <t>2.6.14</t>
  </si>
  <si>
    <t>Проведение технических осмотров и устранение незначительных неисправностей в  системе   теплоснабжения</t>
  </si>
  <si>
    <t>2.6.14.1</t>
  </si>
  <si>
    <t>Осмотр системы центрального отопления</t>
  </si>
  <si>
    <t>2.6.14.1.1</t>
  </si>
  <si>
    <t>Осмотр внутриквартирных устройств системы центрального отопления</t>
  </si>
  <si>
    <t>2.6.14.1.2</t>
  </si>
  <si>
    <t>Осмотр устройства системы центрального отопления в чердачных и подвальных помещениях</t>
  </si>
  <si>
    <t>1000 м2 осматриваемых помещений</t>
  </si>
  <si>
    <t>2.6.14.3</t>
  </si>
  <si>
    <t>Гидравлическое испытание трубопроводов систем центрального отопления (расконсервация)</t>
  </si>
  <si>
    <t>2.6.14.3.10</t>
  </si>
  <si>
    <t>Проверка на прогрев отопительных приборов с регулировкой</t>
  </si>
  <si>
    <t>100 м трубопровода</t>
  </si>
  <si>
    <t>2.6.14.5</t>
  </si>
  <si>
    <t>Устранение незначительных неисправностей в  системе   теплоснабжения</t>
  </si>
  <si>
    <t>2.6.14.5.5</t>
  </si>
  <si>
    <t>Ликвидация воздушных пробок в системе отопления</t>
  </si>
  <si>
    <t>2.6.14.5.5.1</t>
  </si>
  <si>
    <t>Ликвидация воздушных пробок в стояке системы отопления</t>
  </si>
  <si>
    <t>100 стояков</t>
  </si>
  <si>
    <t>2.6.14.5.5.2</t>
  </si>
  <si>
    <t>Ликвидация воздушных пробок в радиаторном блоке</t>
  </si>
  <si>
    <t>100 радиаторных блоков</t>
  </si>
  <si>
    <t>2.7</t>
  </si>
  <si>
    <t>Устранение аварии и выполнение заявок населения</t>
  </si>
  <si>
    <t>2.7.4</t>
  </si>
  <si>
    <t>Устранение аварии на внутридомовых инженерных сетях при сроке эксплуатации многоквартирного дома от 51 до 70 лет</t>
  </si>
  <si>
    <t>1000 м2  общей площади жилых помещений (в год для одной смены)</t>
  </si>
  <si>
    <t>3.1</t>
  </si>
  <si>
    <t>Работы по санитарному содержанию помещений общего пользования, системы мусороудаления и фасадов</t>
  </si>
  <si>
    <t>3.1.1</t>
  </si>
  <si>
    <t>Подметание и мытье полов во всех помещениях  общего пользования, кабинах лифта и их влажная уборка</t>
  </si>
  <si>
    <t>3.1.1.1</t>
  </si>
  <si>
    <t>Подметание и влажная уборка полов во всех помещениях  общего пользования в многоквартирном доме без лифтов и мусоропровода</t>
  </si>
  <si>
    <t>3.1.1.1.1</t>
  </si>
  <si>
    <t>Подметание лестничных площадок и маршей</t>
  </si>
  <si>
    <t>3.1.1.1.1.1</t>
  </si>
  <si>
    <t>Подметание лестничных площадок и маршей нижних трех этажей с предварительным их увлажнением (в доме без лифтов и мусоропровода)</t>
  </si>
  <si>
    <t>100 м2 убираемой  площади</t>
  </si>
  <si>
    <t>3.1.1.1.2</t>
  </si>
  <si>
    <t>Мытье лестничных площадок и маршей</t>
  </si>
  <si>
    <t>3.1.1.1.2.1</t>
  </si>
  <si>
    <t>Мытье  лестничных площадок и маршей нижних трех этажей (в доме без лифтов и мусоропровода)</t>
  </si>
  <si>
    <t>100 м2  убираемой  площади</t>
  </si>
  <si>
    <t>3.1.4</t>
  </si>
  <si>
    <t>Мытье и протирка дверей и окон в помещениях общего пользования, включая двери  мусорных камер</t>
  </si>
  <si>
    <t>3.1.4.1</t>
  </si>
  <si>
    <t>Мытье и протирка дверей  в помещениях общего пользования</t>
  </si>
  <si>
    <t>100 м2 дверей</t>
  </si>
  <si>
    <t>3.1.4.2</t>
  </si>
  <si>
    <t>Мытье и протирка оконных рам и переплетов в помещениях общего пользования</t>
  </si>
  <si>
    <t>100 м2 оконных рам</t>
  </si>
  <si>
    <t>3.1.5</t>
  </si>
  <si>
    <t>Уборка чердачного  и подвального помещений</t>
  </si>
  <si>
    <t>3.1.5.2</t>
  </si>
  <si>
    <t>Уборка и транспортировка мусора в установленное место</t>
  </si>
  <si>
    <t>3.1.5.2.1</t>
  </si>
  <si>
    <t>Уборка мусора и транспортировкой мусора до 50 м</t>
  </si>
  <si>
    <t>1 м3  мусора</t>
  </si>
  <si>
    <t>3.1.9</t>
  </si>
  <si>
    <t>Влажная протирка элементов лестничных клеток</t>
  </si>
  <si>
    <t>3.1.9.2</t>
  </si>
  <si>
    <t>Влажная протирка почтовых ящиков (с мылом)</t>
  </si>
  <si>
    <t>100 кв.м почтовых ящиков</t>
  </si>
  <si>
    <t>3.1.9.7</t>
  </si>
  <si>
    <t>Влажная протирка перил лестниц (с моющим средством)</t>
  </si>
  <si>
    <t>100 кв.м. перил лестниц</t>
  </si>
  <si>
    <t>3.1.9.11</t>
  </si>
  <si>
    <t>Влажная протирка отопительных приборов (моющим средством)</t>
  </si>
  <si>
    <t>100 кв. м отопительных приборов</t>
  </si>
  <si>
    <t>3.2</t>
  </si>
  <si>
    <t>Уборка земельного участка, входящего в состав общего имущества многоквартирного дома</t>
  </si>
  <si>
    <t>3.2.3</t>
  </si>
  <si>
    <t>Уборка и уход за газонами, очистка  урн</t>
  </si>
  <si>
    <t>3.2.3.1</t>
  </si>
  <si>
    <t>Уборка и уход за газонами</t>
  </si>
  <si>
    <t>3.2.3.1.1</t>
  </si>
  <si>
    <t>Уборка газонов средней засоренности от листьев, сучьев, мусора</t>
  </si>
  <si>
    <t>100 000 кв.м. территории</t>
  </si>
  <si>
    <t>3.2.3.1.3</t>
  </si>
  <si>
    <t>Уборка газонов от случайного мусора</t>
  </si>
  <si>
    <t>100 000 м2</t>
  </si>
  <si>
    <t>3.2.3.1.5</t>
  </si>
  <si>
    <t>Стрижка газонов</t>
  </si>
  <si>
    <t>на 100 кв.м.</t>
  </si>
  <si>
    <t>3.2.6</t>
  </si>
  <si>
    <t>Сдвижка и  подметание  снега при отсутствии снегопадов</t>
  </si>
  <si>
    <t>3.2.6.6</t>
  </si>
  <si>
    <t>Сдвижка и подметание снега при отсутствии снегопада на придомовой территории с неусовершенствованным покрытием 3 класса</t>
  </si>
  <si>
    <t>10 000 кв.м. территории</t>
  </si>
  <si>
    <t>3.2.7</t>
  </si>
  <si>
    <t>Сдвижка и  подметание снега  при снегопаде</t>
  </si>
  <si>
    <t>3.2.7.5</t>
  </si>
  <si>
    <t>Сдвижка и подметание снега при снегопаде на придомовой территории с неусовершенствованным покрытием 2 класса</t>
  </si>
  <si>
    <t>3.2.9</t>
  </si>
  <si>
    <t>Очистка кровли</t>
  </si>
  <si>
    <t>3.2.9.2</t>
  </si>
  <si>
    <t>Очистка кровли от снега, сбивание сосулек (при толщине слоя до 20 см)</t>
  </si>
  <si>
    <t>100 кв.м. кровли</t>
  </si>
  <si>
    <t>3.2.11</t>
  </si>
  <si>
    <t>Уборка крыльца и площадки перед входом в подъезд (в холодный период года)</t>
  </si>
  <si>
    <t>100 кв.м</t>
  </si>
  <si>
    <t>3.2.12</t>
  </si>
  <si>
    <t>Уборка крыльца и площадки перед входом в подъезд (в теплый период года)</t>
  </si>
  <si>
    <t>3.4</t>
  </si>
  <si>
    <t>Прочие работы</t>
  </si>
  <si>
    <t>3.4.1</t>
  </si>
  <si>
    <t>Дератизация чердаков и подвалов</t>
  </si>
  <si>
    <t>3.4.1.3</t>
  </si>
  <si>
    <t>Дератизация чердаков и подвалов с применением готовой приманки типа "Шторм" -  антикоагулянта II поколения</t>
  </si>
  <si>
    <t>1000 м2  обрабатываемых  помещений</t>
  </si>
  <si>
    <t>3.4.2</t>
  </si>
  <si>
    <t>Дезинсекция  подвалов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</si>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</sst>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\ ###\ ##0.00"/>
  </numFmts>
  <fonts count="11" x14ac:knownFonts="1">
    <font>
      <sz val="11"/>
      <color theme="1"/>
      <name val="Calibri"/>
      <family val="2"/>
      <scheme val="minor"/>
    </font>
    <font>
      <sz val="9"/>
      <name val="Calibri"/>
    </font>
    <font>
      <sz val="10"/>
      <name val="Calibri"/>
    </font>
    <font>
      <sz val="12"/>
      <name val="Calibri"/>
    </font>
    <font>
      <b/>
      <sz val="9"/>
      <color rgb="FFFFFFFF"/>
      <name val="Calibri"/>
    </font>
    <font>
      <b/>
      <sz val="18"/>
      <color rgb="FF000099"/>
      <name val="Calibri"/>
    </font>
    <font>
      <i/>
      <sz val="11"/>
      <name val="Calibri"/>
    </font>
    <font>
      <b/>
      <sz val="11"/>
      <name val="Calibri"/>
    </font>
    <font>
      <b/>
      <sz val="10"/>
      <color rgb="FF707070"/>
      <name val="Calibri"/>
    </font>
    <font>
      <b/>
      <sz val="11"/>
      <color rgb="FFFFFFFF"/>
      <name val="Calibri"/>
    </font>
    <font>
      <b/>
      <sz val="10"/>
      <color rgb="FFFFFFFF"/>
      <name val="Calibri"/>
    </font>
  </fonts>
  <fills count="8">
    <fill>
      <patternFill patternType="none"/>
    </fill>
    <fill>
      <patternFill patternType="gray125"/>
    </fill>
    <fill>
      <patternFill patternType="solid">
        <fgColor rgb="FF546E7A"/>
      </patternFill>
    </fill>
    <fill>
      <patternFill patternType="solid">
        <fgColor rgb="FFDCE6F1"/>
      </patternFill>
    </fill>
    <fill>
      <patternFill patternType="solid">
        <fgColor rgb="FFF2F2F2"/>
      </patternFill>
    </fill>
    <fill>
      <patternFill patternType="solid">
        <fgColor rgb="FFF9F7ED"/>
      </patternFill>
    </fill>
    <fill>
      <patternFill patternType="solid">
        <fgColor rgb="FFF5F2E0"/>
      </patternFill>
    </fill>
    <fill>
      <patternFill patternType="solid">
        <fgColor rgb="FFEBF1DE"/>
      </patternFill>
    </fill>
  </fills>
  <borders count="12">
    <border>
      <left/>
      <right/>
      <top/>
      <bottom/>
      <diagonal/>
    </border>
    <border>
      <left style="thick">
        <color rgb="FF000000"/>
      </left>
      <right style="thin">
        <color rgb="FFFFFFFF"/>
      </right>
      <top style="thick">
        <color rgb="FF000000"/>
      </top>
      <bottom style="thick">
        <color rgb="FF000000"/>
      </bottom>
      <diagonal/>
    </border>
    <border>
      <left style="thin">
        <color rgb="FFFFFFFF"/>
      </left>
      <right style="thin">
        <color rgb="FFFFFFFF"/>
      </right>
      <top style="thick">
        <color rgb="FF000000"/>
      </top>
      <bottom style="thick">
        <color rgb="FF000000"/>
      </bottom>
      <diagonal/>
    </border>
    <border>
      <left style="thin">
        <color rgb="FFFFFFFF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thick">
        <color rgb="FF000000"/>
      </bottom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top" wrapText="1" indent="1"/>
    </xf>
    <xf numFmtId="49" fontId="2" fillId="0" borderId="0" xfId="0" applyNumberFormat="1" applyFont="1" applyAlignment="1">
      <alignment horizontal="left" vertical="top" wrapText="1" inden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right" vertical="top" indent="1"/>
    </xf>
    <xf numFmtId="164" fontId="2" fillId="0" borderId="0" xfId="0" applyNumberFormat="1" applyFont="1" applyAlignment="1">
      <alignment horizontal="right" vertical="top" indent="1"/>
    </xf>
    <xf numFmtId="2" fontId="2" fillId="0" borderId="0" xfId="0" applyNumberFormat="1" applyFont="1" applyAlignment="1">
      <alignment horizontal="right" vertical="top" indent="1"/>
    </xf>
    <xf numFmtId="0" fontId="4" fillId="0" borderId="0" xfId="0" applyFont="1" applyAlignment="1">
      <alignment horizontal="center" vertical="center" wrapText="1" indent="1"/>
    </xf>
    <xf numFmtId="0" fontId="4" fillId="2" borderId="1" xfId="0" applyFont="1" applyFill="1" applyBorder="1" applyAlignment="1">
      <alignment horizontal="center" vertical="center" wrapText="1" indent="1"/>
    </xf>
    <xf numFmtId="49" fontId="4" fillId="2" borderId="2" xfId="0" applyNumberFormat="1" applyFont="1" applyFill="1" applyBorder="1" applyAlignment="1">
      <alignment horizontal="center" vertical="center" wrapText="1" indent="1"/>
    </xf>
    <xf numFmtId="0" fontId="4" fillId="2" borderId="2" xfId="0" applyFont="1" applyFill="1" applyBorder="1" applyAlignment="1">
      <alignment horizontal="center" vertical="center" wrapText="1" indent="1"/>
    </xf>
    <xf numFmtId="164" fontId="4" fillId="2" borderId="2" xfId="0" applyNumberFormat="1" applyFont="1" applyFill="1" applyBorder="1" applyAlignment="1">
      <alignment horizontal="center" vertical="center" wrapText="1" indent="1"/>
    </xf>
    <xf numFmtId="2" fontId="4" fillId="2" borderId="3" xfId="0" applyNumberFormat="1" applyFont="1" applyFill="1" applyBorder="1" applyAlignment="1">
      <alignment horizontal="center" vertical="center" wrapText="1" indent="1"/>
    </xf>
    <xf numFmtId="0" fontId="6" fillId="0" borderId="6" xfId="0" applyFont="1" applyBorder="1" applyAlignment="1">
      <alignment horizontal="left" indent="1"/>
    </xf>
    <xf numFmtId="2" fontId="6" fillId="0" borderId="8" xfId="0" applyNumberFormat="1" applyFont="1" applyBorder="1" applyAlignment="1">
      <alignment horizontal="left" indent="1"/>
    </xf>
    <xf numFmtId="0" fontId="7" fillId="0" borderId="0" xfId="0" applyFont="1"/>
    <xf numFmtId="0" fontId="7" fillId="3" borderId="9" xfId="0" applyFont="1" applyFill="1" applyBorder="1" applyAlignment="1">
      <alignment horizontal="center" vertical="top" wrapText="1" indent="1"/>
    </xf>
    <xf numFmtId="49" fontId="7" fillId="3" borderId="10" xfId="0" applyNumberFormat="1" applyFont="1" applyFill="1" applyBorder="1" applyAlignment="1">
      <alignment horizontal="left" vertical="top" wrapText="1" indent="1"/>
    </xf>
    <xf numFmtId="0" fontId="8" fillId="0" borderId="0" xfId="0" applyFont="1"/>
    <xf numFmtId="0" fontId="8" fillId="4" borderId="9" xfId="0" applyFont="1" applyFill="1" applyBorder="1" applyAlignment="1">
      <alignment horizontal="center" vertical="top" wrapText="1" indent="1"/>
    </xf>
    <xf numFmtId="49" fontId="8" fillId="4" borderId="10" xfId="0" applyNumberFormat="1" applyFont="1" applyFill="1" applyBorder="1" applyAlignment="1">
      <alignment horizontal="left" vertical="top" wrapText="1" indent="1"/>
    </xf>
    <xf numFmtId="0" fontId="1" fillId="0" borderId="9" xfId="0" applyFont="1" applyBorder="1" applyAlignment="1">
      <alignment horizontal="center" vertical="top" wrapText="1" indent="1"/>
    </xf>
    <xf numFmtId="49" fontId="2" fillId="0" borderId="10" xfId="0" applyNumberFormat="1" applyFont="1" applyBorder="1" applyAlignment="1">
      <alignment horizontal="left" vertical="top" wrapText="1" indent="1"/>
    </xf>
    <xf numFmtId="0" fontId="2" fillId="0" borderId="10" xfId="0" applyFont="1" applyBorder="1" applyAlignment="1">
      <alignment horizontal="left" vertical="top" wrapText="1"/>
    </xf>
    <xf numFmtId="0" fontId="3" fillId="5" borderId="10" xfId="0" applyFont="1" applyFill="1" applyBorder="1" applyAlignment="1">
      <alignment horizontal="right" vertical="top" indent="1"/>
    </xf>
    <xf numFmtId="0" fontId="3" fillId="6" borderId="10" xfId="0" applyFont="1" applyFill="1" applyBorder="1" applyAlignment="1">
      <alignment horizontal="right" vertical="top" indent="1"/>
    </xf>
    <xf numFmtId="164" fontId="2" fillId="0" borderId="10" xfId="0" applyNumberFormat="1" applyFont="1" applyBorder="1" applyAlignment="1">
      <alignment horizontal="right" vertical="top" indent="1"/>
    </xf>
    <xf numFmtId="164" fontId="2" fillId="7" borderId="10" xfId="0" applyNumberFormat="1" applyFont="1" applyFill="1" applyBorder="1" applyAlignment="1">
      <alignment horizontal="right" vertical="top" indent="1"/>
    </xf>
    <xf numFmtId="2" fontId="2" fillId="0" borderId="11" xfId="0" applyNumberFormat="1" applyFont="1" applyBorder="1" applyAlignment="1">
      <alignment horizontal="right" vertical="top" indent="1"/>
    </xf>
    <xf numFmtId="0" fontId="9" fillId="0" borderId="0" xfId="0" applyFont="1" applyAlignment="1">
      <alignment horizontal="right" vertical="center" wrapText="1" indent="1"/>
    </xf>
    <xf numFmtId="164" fontId="9" fillId="2" borderId="2" xfId="0" applyNumberFormat="1" applyFont="1" applyFill="1" applyBorder="1" applyAlignment="1">
      <alignment horizontal="right" vertical="center" wrapText="1" indent="1"/>
    </xf>
    <xf numFmtId="2" fontId="9" fillId="2" borderId="3" xfId="0" applyNumberFormat="1" applyFont="1" applyFill="1" applyBorder="1" applyAlignment="1">
      <alignment horizontal="right" vertical="center" wrapText="1" indent="1"/>
    </xf>
    <xf numFmtId="0" fontId="8" fillId="4" borderId="11" xfId="0" applyFont="1" applyFill="1" applyBorder="1" applyAlignment="1">
      <alignment indent="1"/>
    </xf>
    <xf numFmtId="0" fontId="7" fillId="3" borderId="11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right" vertical="center" wrapText="1" indent="1"/>
    </xf>
    <xf numFmtId="0" fontId="8" fillId="4" borderId="11" xfId="0" applyFont="1" applyFill="1" applyBorder="1" applyAlignment="1">
      <alignment indent="2"/>
    </xf>
    <xf numFmtId="0" fontId="8" fillId="4" borderId="11" xfId="0" applyFont="1" applyFill="1" applyBorder="1" applyAlignment="1">
      <alignment indent="3"/>
    </xf>
    <xf numFmtId="0" fontId="5" fillId="0" borderId="4" xfId="0" applyFont="1" applyBorder="1" applyAlignment="1">
      <alignment horizontal="left" vertical="center" indent="1"/>
    </xf>
    <xf numFmtId="164" fontId="6" fillId="0" borderId="5" xfId="0" applyNumberFormat="1" applyFont="1" applyBorder="1" applyAlignment="1">
      <alignment horizontal="right" indent="1"/>
    </xf>
    <xf numFmtId="164" fontId="6" fillId="0" borderId="7" xfId="0" applyNumberFormat="1" applyFont="1" applyBorder="1" applyAlignment="1">
      <alignment horizontal="right" inden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08"/>
  <sheetViews>
    <sheetView tabSelected="1" workbookViewId="0">
      <pane ySplit="1" topLeftCell="A2" activePane="bottomLeft" state="frozen"/>
      <selection pane="bottomLeft" activeCell="B2" sqref="B2:L3"/>
    </sheetView>
  </sheetViews>
  <sheetFormatPr defaultRowHeight="15.6" x14ac:dyDescent="0.3"/>
  <cols>
    <col min="1" max="1" width="3" customWidth="1"/>
    <col min="2" max="2" width="6" style="1" customWidth="1"/>
    <col min="3" max="3" width="13" style="2" customWidth="1"/>
    <col min="4" max="4" width="50" style="3" customWidth="1"/>
    <col min="5" max="5" width="20" style="3" customWidth="1"/>
    <col min="6" max="7" width="12" style="4" customWidth="1"/>
    <col min="8" max="9" width="14" style="5" customWidth="1"/>
    <col min="10" max="10" width="13" style="5" customWidth="1"/>
    <col min="11" max="13" width="14" style="5" customWidth="1"/>
    <col min="14" max="14" width="16" style="5" customWidth="1"/>
    <col min="15" max="15" width="12" style="6" customWidth="1"/>
  </cols>
  <sheetData>
    <row r="1" spans="1:15" s="7" customFormat="1" ht="40.049999999999997" customHeight="1" x14ac:dyDescent="0.3">
      <c r="A1" s="7" t="s">
        <v>0</v>
      </c>
      <c r="B1" s="8" t="s">
        <v>1</v>
      </c>
      <c r="C1" s="9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1" t="s">
        <v>7</v>
      </c>
      <c r="I1" s="11" t="s">
        <v>8</v>
      </c>
      <c r="J1" s="11" t="s">
        <v>9</v>
      </c>
      <c r="K1" s="11" t="s">
        <v>10</v>
      </c>
      <c r="L1" s="11" t="s">
        <v>11</v>
      </c>
      <c r="M1" s="11" t="s">
        <v>12</v>
      </c>
      <c r="N1" s="11" t="s">
        <v>13</v>
      </c>
      <c r="O1" s="12" t="s">
        <v>14</v>
      </c>
    </row>
    <row r="2" spans="1:15" ht="14.4" x14ac:dyDescent="0.3">
      <c r="A2" t="s">
        <v>0</v>
      </c>
      <c r="B2" s="37" t="s">
        <v>15</v>
      </c>
      <c r="C2" s="37"/>
      <c r="D2" s="37"/>
      <c r="E2" s="37"/>
      <c r="F2" s="37"/>
      <c r="G2" s="37"/>
      <c r="H2" s="37"/>
      <c r="I2" s="37"/>
      <c r="J2" s="37"/>
      <c r="K2" s="37"/>
      <c r="L2" s="37"/>
      <c r="M2" s="38" t="s">
        <v>16</v>
      </c>
      <c r="N2" s="38"/>
      <c r="O2" s="13" t="s">
        <v>17</v>
      </c>
    </row>
    <row r="3" spans="1:15" ht="14.4" x14ac:dyDescent="0.3"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9" t="s">
        <v>18</v>
      </c>
      <c r="N3" s="39"/>
      <c r="O3" s="14">
        <v>180.1</v>
      </c>
    </row>
    <row r="4" spans="1:15" s="15" customFormat="1" ht="14.4" x14ac:dyDescent="0.3">
      <c r="B4" s="16"/>
      <c r="C4" s="17" t="s">
        <v>19</v>
      </c>
      <c r="D4" s="33" t="s">
        <v>20</v>
      </c>
      <c r="E4" s="33"/>
      <c r="F4" s="33"/>
      <c r="G4" s="33"/>
      <c r="H4" s="33"/>
      <c r="I4" s="33"/>
      <c r="J4" s="33"/>
      <c r="K4" s="33"/>
      <c r="L4" s="33"/>
      <c r="M4" s="33"/>
      <c r="N4" s="33"/>
      <c r="O4" s="33"/>
    </row>
    <row r="5" spans="1:15" s="18" customFormat="1" ht="13.8" x14ac:dyDescent="0.3">
      <c r="B5" s="19"/>
      <c r="C5" s="20" t="s">
        <v>21</v>
      </c>
      <c r="D5" s="32" t="s">
        <v>22</v>
      </c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</row>
    <row r="6" spans="1:15" x14ac:dyDescent="0.3">
      <c r="B6" s="21">
        <v>1</v>
      </c>
      <c r="C6" s="22" t="s">
        <v>23</v>
      </c>
      <c r="D6" s="23" t="s">
        <v>24</v>
      </c>
      <c r="E6" s="23" t="s">
        <v>25</v>
      </c>
      <c r="F6" s="24">
        <v>0.01</v>
      </c>
      <c r="G6" s="25">
        <v>1</v>
      </c>
      <c r="H6" s="26">
        <f>F6 * G6 * 1665.965186</f>
        <v>16.65965186</v>
      </c>
      <c r="I6" s="26">
        <f>F6 * G6 * 3384</f>
        <v>33.840000000000003</v>
      </c>
      <c r="J6" s="26">
        <f>F6 * G6 * 0</f>
        <v>0</v>
      </c>
      <c r="K6" s="26">
        <f>F6 * G6 * 1586.33205</f>
        <v>15.8633205</v>
      </c>
      <c r="L6" s="26">
        <f>F6 * G6 * 735.281223</f>
        <v>7.3528122299999996</v>
      </c>
      <c r="M6" s="26">
        <f>F6 * G6 * 333.193037</f>
        <v>3.3319303700000003</v>
      </c>
      <c r="N6" s="27">
        <f>SUM(H6:M6)</f>
        <v>77.047714959999993</v>
      </c>
      <c r="O6" s="28">
        <f>IF(O3&gt;0,N6/O3/12,0)</f>
        <v>3.5650432611512121E-2</v>
      </c>
    </row>
    <row r="7" spans="1:15" s="15" customFormat="1" ht="14.4" x14ac:dyDescent="0.3">
      <c r="B7" s="16"/>
      <c r="C7" s="17" t="s">
        <v>26</v>
      </c>
      <c r="D7" s="33" t="s">
        <v>27</v>
      </c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</row>
    <row r="8" spans="1:15" s="18" customFormat="1" ht="13.8" x14ac:dyDescent="0.3">
      <c r="B8" s="19"/>
      <c r="C8" s="20" t="s">
        <v>28</v>
      </c>
      <c r="D8" s="32" t="s">
        <v>29</v>
      </c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</row>
    <row r="9" spans="1:15" s="18" customFormat="1" ht="13.8" x14ac:dyDescent="0.3">
      <c r="B9" s="19"/>
      <c r="C9" s="20" t="s">
        <v>30</v>
      </c>
      <c r="D9" s="35" t="s">
        <v>31</v>
      </c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</row>
    <row r="10" spans="1:15" s="18" customFormat="1" ht="13.8" x14ac:dyDescent="0.3">
      <c r="B10" s="19"/>
      <c r="C10" s="20" t="s">
        <v>32</v>
      </c>
      <c r="D10" s="36" t="s">
        <v>33</v>
      </c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</row>
    <row r="11" spans="1:15" ht="27.6" x14ac:dyDescent="0.3">
      <c r="B11" s="21">
        <v>2</v>
      </c>
      <c r="C11" s="22" t="s">
        <v>34</v>
      </c>
      <c r="D11" s="23" t="s">
        <v>35</v>
      </c>
      <c r="E11" s="23" t="s">
        <v>36</v>
      </c>
      <c r="F11" s="24">
        <v>0.05</v>
      </c>
      <c r="G11" s="25">
        <v>0.5</v>
      </c>
      <c r="H11" s="26">
        <f>F11 * G11 * 11007.941238</f>
        <v>275.19853095000002</v>
      </c>
      <c r="I11" s="26">
        <f>F11 * G11 * 62351.699056</f>
        <v>1558.7924763999999</v>
      </c>
      <c r="J11" s="26">
        <f>F11 * G11 * 0</f>
        <v>0</v>
      </c>
      <c r="K11" s="26">
        <f>F11 * G11 * 10481.761647</f>
        <v>262.04404117500002</v>
      </c>
      <c r="L11" s="26">
        <f>F11 * G11 * 9077.53546499999</f>
        <v>226.93838662499977</v>
      </c>
      <c r="M11" s="26">
        <f>F11 * G11 * 2201.588248</f>
        <v>55.039706200000005</v>
      </c>
      <c r="N11" s="27">
        <f>SUM(H11:M11)</f>
        <v>2378.0131413499998</v>
      </c>
      <c r="O11" s="28">
        <f>IF(O3&gt;0,N11/O3/12,0)</f>
        <v>1.1003207205950398</v>
      </c>
    </row>
    <row r="12" spans="1:15" ht="27.6" x14ac:dyDescent="0.3">
      <c r="B12" s="21">
        <v>3</v>
      </c>
      <c r="C12" s="22" t="s">
        <v>37</v>
      </c>
      <c r="D12" s="23" t="s">
        <v>38</v>
      </c>
      <c r="E12" s="23" t="s">
        <v>39</v>
      </c>
      <c r="F12" s="24"/>
      <c r="G12" s="25">
        <v>1</v>
      </c>
      <c r="H12" s="26">
        <f>F12 * G12 * 93.552158</f>
        <v>0</v>
      </c>
      <c r="I12" s="26">
        <f>F12 * G12 * 289.9157</f>
        <v>0</v>
      </c>
      <c r="J12" s="26">
        <f>F12 * G12 * 0.04873</f>
        <v>0</v>
      </c>
      <c r="K12" s="26">
        <f>F12 * G12 * 89.080365</f>
        <v>0</v>
      </c>
      <c r="L12" s="26">
        <f>F12 * G12 * 51.832929</f>
        <v>0</v>
      </c>
      <c r="M12" s="26">
        <f>F12 * G12 * 18.710432</f>
        <v>0</v>
      </c>
      <c r="N12" s="27">
        <f>SUM(H12:M12)</f>
        <v>0</v>
      </c>
      <c r="O12" s="28">
        <f>IF(O3&gt;0,N12/O3/12,0)</f>
        <v>0</v>
      </c>
    </row>
    <row r="13" spans="1:15" s="18" customFormat="1" ht="13.8" x14ac:dyDescent="0.3">
      <c r="B13" s="19"/>
      <c r="C13" s="20" t="s">
        <v>40</v>
      </c>
      <c r="D13" s="32" t="s">
        <v>41</v>
      </c>
      <c r="E13" s="32"/>
      <c r="F13" s="32"/>
      <c r="G13" s="32"/>
      <c r="H13" s="32"/>
      <c r="I13" s="32"/>
      <c r="J13" s="32"/>
      <c r="K13" s="32"/>
      <c r="L13" s="32"/>
      <c r="M13" s="32"/>
      <c r="N13" s="32"/>
      <c r="O13" s="32"/>
    </row>
    <row r="14" spans="1:15" x14ac:dyDescent="0.3">
      <c r="B14" s="21">
        <v>4</v>
      </c>
      <c r="C14" s="22" t="s">
        <v>42</v>
      </c>
      <c r="D14" s="23" t="s">
        <v>43</v>
      </c>
      <c r="E14" s="23" t="s">
        <v>44</v>
      </c>
      <c r="F14" s="24">
        <v>0.25</v>
      </c>
      <c r="G14" s="25">
        <v>1</v>
      </c>
      <c r="H14" s="26">
        <f>F14 * G14 * 422.357371</f>
        <v>105.58934275</v>
      </c>
      <c r="I14" s="26">
        <f>F14 * G14 * 102.700969</f>
        <v>25.67524225</v>
      </c>
      <c r="J14" s="26">
        <f>F14 * G14 * 0</f>
        <v>0</v>
      </c>
      <c r="K14" s="26">
        <f>F14 * G14 * 402.168689</f>
        <v>100.54217224999999</v>
      </c>
      <c r="L14" s="26">
        <f>F14 * G14 * 106.734193</f>
        <v>26.683548250000001</v>
      </c>
      <c r="M14" s="26">
        <f>F14 * G14 * 84.471474</f>
        <v>21.1178685</v>
      </c>
      <c r="N14" s="27">
        <f>SUM(H14:M14)</f>
        <v>279.60817399999996</v>
      </c>
      <c r="O14" s="28">
        <f>IF(O3&gt;0,N14/O3/12,0)</f>
        <v>0.12937635295206365</v>
      </c>
    </row>
    <row r="15" spans="1:15" s="15" customFormat="1" ht="14.4" x14ac:dyDescent="0.3">
      <c r="B15" s="16"/>
      <c r="C15" s="17" t="s">
        <v>45</v>
      </c>
      <c r="D15" s="33" t="s">
        <v>46</v>
      </c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</row>
    <row r="16" spans="1:15" s="18" customFormat="1" ht="13.8" x14ac:dyDescent="0.3">
      <c r="B16" s="19"/>
      <c r="C16" s="20" t="s">
        <v>47</v>
      </c>
      <c r="D16" s="32" t="s">
        <v>48</v>
      </c>
      <c r="E16" s="32"/>
      <c r="F16" s="32"/>
      <c r="G16" s="32"/>
      <c r="H16" s="32"/>
      <c r="I16" s="32"/>
      <c r="J16" s="32"/>
      <c r="K16" s="32"/>
      <c r="L16" s="32"/>
      <c r="M16" s="32"/>
      <c r="N16" s="32"/>
      <c r="O16" s="32"/>
    </row>
    <row r="17" spans="2:15" ht="27.6" x14ac:dyDescent="0.3">
      <c r="B17" s="21">
        <v>5</v>
      </c>
      <c r="C17" s="22" t="s">
        <v>49</v>
      </c>
      <c r="D17" s="23" t="s">
        <v>50</v>
      </c>
      <c r="E17" s="23" t="s">
        <v>51</v>
      </c>
      <c r="F17" s="24">
        <v>0.2</v>
      </c>
      <c r="G17" s="25">
        <v>1</v>
      </c>
      <c r="H17" s="26">
        <f>F17 * G17 * 1430.530826</f>
        <v>286.10616520000002</v>
      </c>
      <c r="I17" s="26">
        <f>F17 * G17 * 309.992824</f>
        <v>61.998564799999997</v>
      </c>
      <c r="J17" s="26">
        <f>F17 * G17 * 0</f>
        <v>0</v>
      </c>
      <c r="K17" s="26">
        <f>F17 * G17 * 1362.151453</f>
        <v>272.43029059999998</v>
      </c>
      <c r="L17" s="26">
        <f>F17 * G17 * 357.516423</f>
        <v>71.503284600000001</v>
      </c>
      <c r="M17" s="26">
        <f>F17 * G17 * 286.106165</f>
        <v>57.221232999999998</v>
      </c>
      <c r="N17" s="27">
        <f>SUM(H17:M17)</f>
        <v>749.25953820000007</v>
      </c>
      <c r="O17" s="28">
        <f>IF(O3&gt;0,N17/O3/12,0)</f>
        <v>0.34668681204886176</v>
      </c>
    </row>
    <row r="18" spans="2:15" x14ac:dyDescent="0.3">
      <c r="B18" s="21">
        <v>6</v>
      </c>
      <c r="C18" s="22" t="s">
        <v>52</v>
      </c>
      <c r="D18" s="23" t="s">
        <v>53</v>
      </c>
      <c r="E18" s="23" t="s">
        <v>54</v>
      </c>
      <c r="F18" s="24"/>
      <c r="G18" s="25">
        <v>1</v>
      </c>
      <c r="H18" s="26">
        <f>F18 * G18 * 124.509165</f>
        <v>0</v>
      </c>
      <c r="I18" s="26">
        <f>F18 * G18 * 79.691038</f>
        <v>0</v>
      </c>
      <c r="J18" s="26">
        <f>F18 * G18 * 0</f>
        <v>0</v>
      </c>
      <c r="K18" s="26">
        <f>F18 * G18 * 118.557627</f>
        <v>0</v>
      </c>
      <c r="L18" s="26">
        <f>F18 * G18 * 36.678094</f>
        <v>0</v>
      </c>
      <c r="M18" s="26">
        <f>F18 * G18 * 24.901833</f>
        <v>0</v>
      </c>
      <c r="N18" s="27">
        <f>SUM(H18:M18)</f>
        <v>0</v>
      </c>
      <c r="O18" s="28">
        <f>IF(O3&gt;0,N18/O3/12,0)</f>
        <v>0</v>
      </c>
    </row>
    <row r="19" spans="2:15" x14ac:dyDescent="0.3">
      <c r="B19" s="21">
        <v>7</v>
      </c>
      <c r="C19" s="22" t="s">
        <v>55</v>
      </c>
      <c r="D19" s="23" t="s">
        <v>56</v>
      </c>
      <c r="E19" s="23" t="s">
        <v>57</v>
      </c>
      <c r="F19" s="24"/>
      <c r="G19" s="25">
        <v>1</v>
      </c>
      <c r="H19" s="26">
        <f>F19 * G19 * 35.196448</f>
        <v>0</v>
      </c>
      <c r="I19" s="26">
        <f>F19 * G19 * 96.759276</f>
        <v>0</v>
      </c>
      <c r="J19" s="26">
        <f>F19 * G19 * 0</f>
        <v>0</v>
      </c>
      <c r="K19" s="26">
        <f>F19 * G19 * 33.514058</f>
        <v>0</v>
      </c>
      <c r="L19" s="26">
        <f>F19 * G19 * 18.199707</f>
        <v>0</v>
      </c>
      <c r="M19" s="26">
        <f>F19 * G19 * 7.03929</f>
        <v>0</v>
      </c>
      <c r="N19" s="27">
        <f>SUM(H19:M19)</f>
        <v>0</v>
      </c>
      <c r="O19" s="28">
        <f>IF(O3&gt;0,N19/O3/12,0)</f>
        <v>0</v>
      </c>
    </row>
    <row r="20" spans="2:15" x14ac:dyDescent="0.3">
      <c r="B20" s="21">
        <v>8</v>
      </c>
      <c r="C20" s="22" t="s">
        <v>58</v>
      </c>
      <c r="D20" s="23" t="s">
        <v>59</v>
      </c>
      <c r="E20" s="23" t="s">
        <v>60</v>
      </c>
      <c r="F20" s="24">
        <v>3.2000000000000001E-2</v>
      </c>
      <c r="G20" s="25">
        <v>0.2</v>
      </c>
      <c r="H20" s="26">
        <f>F20 * G20 * 11906.548686</f>
        <v>76.201911590400002</v>
      </c>
      <c r="I20" s="26">
        <f>F20 * G20 * 3035.305148</f>
        <v>19.425952947199999</v>
      </c>
      <c r="J20" s="26">
        <f>F20 * G20 * 0</f>
        <v>0</v>
      </c>
      <c r="K20" s="26">
        <f>F20 * G20 * 11337.415659</f>
        <v>72.559460217600005</v>
      </c>
      <c r="L20" s="26">
        <f>F20 * G20 * 3023.691109</f>
        <v>19.351623097600001</v>
      </c>
      <c r="M20" s="26">
        <f>F20 * G20 * 2381.309737</f>
        <v>15.240382316800002</v>
      </c>
      <c r="N20" s="27">
        <f>SUM(H20:M20)</f>
        <v>202.7793301696</v>
      </c>
      <c r="O20" s="28">
        <f>IF(O3&gt;0,N20/O3/12,0)</f>
        <v>9.3827193304460488E-2</v>
      </c>
    </row>
    <row r="21" spans="2:15" s="18" customFormat="1" ht="13.8" x14ac:dyDescent="0.3">
      <c r="B21" s="19"/>
      <c r="C21" s="20" t="s">
        <v>61</v>
      </c>
      <c r="D21" s="32" t="s">
        <v>62</v>
      </c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</row>
    <row r="22" spans="2:15" x14ac:dyDescent="0.3">
      <c r="B22" s="21">
        <v>9</v>
      </c>
      <c r="C22" s="22" t="s">
        <v>63</v>
      </c>
      <c r="D22" s="23" t="s">
        <v>64</v>
      </c>
      <c r="E22" s="23" t="s">
        <v>65</v>
      </c>
      <c r="F22" s="24">
        <v>0.1</v>
      </c>
      <c r="G22" s="25">
        <v>1</v>
      </c>
      <c r="H22" s="26">
        <f>F22 * G22 * 2346.42984</f>
        <v>234.64298399999998</v>
      </c>
      <c r="I22" s="26">
        <f>F22 * G22 * 748.992</f>
        <v>74.899199999999993</v>
      </c>
      <c r="J22" s="26">
        <f>F22 * G22 * 0</f>
        <v>0</v>
      </c>
      <c r="K22" s="26">
        <f>F22 * G22 * 2234.270494</f>
        <v>223.42704939999999</v>
      </c>
      <c r="L22" s="26">
        <f>F22 * G22 * 611.792211</f>
        <v>61.179221099999999</v>
      </c>
      <c r="M22" s="26">
        <f>F22 * G22 * 469.285968</f>
        <v>46.928596800000008</v>
      </c>
      <c r="N22" s="27">
        <f>SUM(H22:M22)</f>
        <v>641.07705129999988</v>
      </c>
      <c r="O22" s="28">
        <f>IF(O3&gt;0,N22/O3/12,0)</f>
        <v>0.29663013663705345</v>
      </c>
    </row>
    <row r="23" spans="2:15" x14ac:dyDescent="0.3">
      <c r="B23" s="21">
        <v>10</v>
      </c>
      <c r="C23" s="22" t="s">
        <v>66</v>
      </c>
      <c r="D23" s="23" t="s">
        <v>67</v>
      </c>
      <c r="E23" s="23" t="s">
        <v>68</v>
      </c>
      <c r="F23" s="24"/>
      <c r="G23" s="25">
        <v>1</v>
      </c>
      <c r="H23" s="26">
        <f>F23 * G23 * 3519.64476</f>
        <v>0</v>
      </c>
      <c r="I23" s="26">
        <f>F23 * G23 * 8756.37072</f>
        <v>0</v>
      </c>
      <c r="J23" s="26">
        <f>F23 * G23 * 0</f>
        <v>0</v>
      </c>
      <c r="K23" s="26">
        <f>F23 * G23 * 3351.40574</f>
        <v>0</v>
      </c>
      <c r="L23" s="26">
        <f>F23 * G23 * 1722.957443</f>
        <v>0</v>
      </c>
      <c r="M23" s="26">
        <f>F23 * G23 * 703.928952</f>
        <v>0</v>
      </c>
      <c r="N23" s="27">
        <f>SUM(H23:M23)</f>
        <v>0</v>
      </c>
      <c r="O23" s="28">
        <f>IF(O3&gt;0,N23/O3/12,0)</f>
        <v>0</v>
      </c>
    </row>
    <row r="24" spans="2:15" x14ac:dyDescent="0.3">
      <c r="B24" s="21">
        <v>11</v>
      </c>
      <c r="C24" s="22" t="s">
        <v>69</v>
      </c>
      <c r="D24" s="23" t="s">
        <v>70</v>
      </c>
      <c r="E24" s="23" t="s">
        <v>60</v>
      </c>
      <c r="F24" s="24"/>
      <c r="G24" s="25">
        <v>1</v>
      </c>
      <c r="H24" s="26">
        <f>F24 * G24 * 18196.800822</f>
        <v>0</v>
      </c>
      <c r="I24" s="26">
        <f>F24 * G24 * 2810.436515</f>
        <v>0</v>
      </c>
      <c r="J24" s="26">
        <f>F24 * G24 * 0</f>
        <v>0</v>
      </c>
      <c r="K24" s="26">
        <f>F24 * G24 * 17326.993742</f>
        <v>0</v>
      </c>
      <c r="L24" s="26">
        <f>F24 * G24 * 4428.213876</f>
        <v>0</v>
      </c>
      <c r="M24" s="26">
        <f>F24 * G24 * 3639.360164</f>
        <v>0</v>
      </c>
      <c r="N24" s="27">
        <f>SUM(H24:M24)</f>
        <v>0</v>
      </c>
      <c r="O24" s="28">
        <f>IF(O3&gt;0,N24/O3/12,0)</f>
        <v>0</v>
      </c>
    </row>
    <row r="25" spans="2:15" ht="27.6" x14ac:dyDescent="0.3">
      <c r="B25" s="21">
        <v>12</v>
      </c>
      <c r="C25" s="22" t="s">
        <v>71</v>
      </c>
      <c r="D25" s="23" t="s">
        <v>72</v>
      </c>
      <c r="E25" s="23" t="s">
        <v>73</v>
      </c>
      <c r="F25" s="24">
        <v>1</v>
      </c>
      <c r="G25" s="25">
        <v>1</v>
      </c>
      <c r="H25" s="26">
        <f>F25 * G25 * 1311.319924</f>
        <v>1311.3199239999999</v>
      </c>
      <c r="I25" s="26">
        <f>F25 * G25 * 4996.275811</f>
        <v>4996.2758110000004</v>
      </c>
      <c r="J25" s="26">
        <f>F25 * G25 * 0</f>
        <v>0</v>
      </c>
      <c r="K25" s="26">
        <f>F25 * G25 * 1248.638832</f>
        <v>1248.6388320000001</v>
      </c>
      <c r="L25" s="26">
        <f>F25 * G25 * 824.851597</f>
        <v>824.85159699999997</v>
      </c>
      <c r="M25" s="26">
        <f>F25 * G25 * 262.263985</f>
        <v>262.26398499999999</v>
      </c>
      <c r="N25" s="27">
        <f>SUM(H25:M25)</f>
        <v>8643.3501490000017</v>
      </c>
      <c r="O25" s="28">
        <f>IF(O3&gt;0,N25/O3/12,0)</f>
        <v>3.999329145382196</v>
      </c>
    </row>
    <row r="26" spans="2:15" ht="55.2" x14ac:dyDescent="0.3">
      <c r="B26" s="21">
        <v>13</v>
      </c>
      <c r="C26" s="22" t="s">
        <v>74</v>
      </c>
      <c r="D26" s="23" t="s">
        <v>75</v>
      </c>
      <c r="E26" s="23" t="s">
        <v>76</v>
      </c>
      <c r="F26" s="24"/>
      <c r="G26" s="25">
        <v>1</v>
      </c>
      <c r="H26" s="26">
        <f>F26 * G26 * 11401.302593</f>
        <v>0</v>
      </c>
      <c r="I26" s="26">
        <f>F26 * G26 * 54132.689277</f>
        <v>0</v>
      </c>
      <c r="J26" s="26">
        <f>F26 * G26 * 0</f>
        <v>0</v>
      </c>
      <c r="K26" s="26">
        <f>F26 * G26 * 10856.320329</f>
        <v>0</v>
      </c>
      <c r="L26" s="26">
        <f>F26 * G26 * 8299.745422</f>
        <v>0</v>
      </c>
      <c r="M26" s="26">
        <f>F26 * G26 * 2280.260519</f>
        <v>0</v>
      </c>
      <c r="N26" s="27">
        <f>SUM(H26:M26)</f>
        <v>0</v>
      </c>
      <c r="O26" s="28">
        <f>IF(O3&gt;0,N26/O3/12,0)</f>
        <v>0</v>
      </c>
    </row>
    <row r="27" spans="2:15" s="15" customFormat="1" ht="14.4" x14ac:dyDescent="0.3">
      <c r="B27" s="16"/>
      <c r="C27" s="17" t="s">
        <v>77</v>
      </c>
      <c r="D27" s="33" t="s">
        <v>78</v>
      </c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</row>
    <row r="28" spans="2:15" s="18" customFormat="1" ht="13.8" x14ac:dyDescent="0.3">
      <c r="B28" s="19"/>
      <c r="C28" s="20" t="s">
        <v>79</v>
      </c>
      <c r="D28" s="32" t="s">
        <v>80</v>
      </c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</row>
    <row r="29" spans="2:15" ht="27.6" x14ac:dyDescent="0.3">
      <c r="B29" s="21">
        <v>14</v>
      </c>
      <c r="C29" s="22" t="s">
        <v>81</v>
      </c>
      <c r="D29" s="23" t="s">
        <v>82</v>
      </c>
      <c r="E29" s="23" t="s">
        <v>83</v>
      </c>
      <c r="F29" s="24">
        <v>4.3999999999999997E-2</v>
      </c>
      <c r="G29" s="25">
        <v>0.2</v>
      </c>
      <c r="H29" s="26">
        <f>F29 * G29 * 9111.903264</f>
        <v>80.184748723200016</v>
      </c>
      <c r="I29" s="26">
        <f>F29 * G29 * 2383.34929</f>
        <v>20.973473752000004</v>
      </c>
      <c r="J29" s="26">
        <f>F29 * G29 * 0</f>
        <v>0</v>
      </c>
      <c r="K29" s="26">
        <f>F29 * G29 * 8676.354288</f>
        <v>76.351917734400004</v>
      </c>
      <c r="L29" s="26">
        <f>F29 * G29 * 2320.36568</f>
        <v>20.419217983999999</v>
      </c>
      <c r="M29" s="26">
        <f>F29 * G29 * 1822.380653</f>
        <v>16.036949746400001</v>
      </c>
      <c r="N29" s="27">
        <f>SUM(H29:M29)</f>
        <v>213.96630794000004</v>
      </c>
      <c r="O29" s="28">
        <f>IF(O3&gt;0,N29/O3/12,0)</f>
        <v>9.9003473968165848E-2</v>
      </c>
    </row>
    <row r="30" spans="2:15" x14ac:dyDescent="0.3">
      <c r="B30" s="21">
        <v>15</v>
      </c>
      <c r="C30" s="22" t="s">
        <v>84</v>
      </c>
      <c r="D30" s="23" t="s">
        <v>85</v>
      </c>
      <c r="E30" s="23" t="s">
        <v>86</v>
      </c>
      <c r="F30" s="24">
        <v>2.1999999999999999E-2</v>
      </c>
      <c r="G30" s="25">
        <v>0.2</v>
      </c>
      <c r="H30" s="26">
        <f>F30 * G30 * 2973.357907</f>
        <v>13.0827747908</v>
      </c>
      <c r="I30" s="26">
        <f>F30 * G30 * 501.604364</f>
        <v>2.2070592015999999</v>
      </c>
      <c r="J30" s="26">
        <f>F30 * G30 * 0</f>
        <v>0</v>
      </c>
      <c r="K30" s="26">
        <f>F30 * G30 * 2831.231399</f>
        <v>12.457418155599999</v>
      </c>
      <c r="L30" s="26">
        <f>F30 * G30 * 728.041284</f>
        <v>3.2033816496000003</v>
      </c>
      <c r="M30" s="26">
        <f>F30 * G30 * 594.671581</f>
        <v>2.6165549563999999</v>
      </c>
      <c r="N30" s="27">
        <f>SUM(H30:M30)</f>
        <v>33.567188754</v>
      </c>
      <c r="O30" s="28">
        <f>IF(O3&gt;0,N30/O3/12,0)</f>
        <v>1.5531736421432539E-2</v>
      </c>
    </row>
    <row r="31" spans="2:15" s="15" customFormat="1" ht="14.4" x14ac:dyDescent="0.3">
      <c r="B31" s="16"/>
      <c r="C31" s="17" t="s">
        <v>87</v>
      </c>
      <c r="D31" s="33" t="s">
        <v>88</v>
      </c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</row>
    <row r="32" spans="2:15" s="18" customFormat="1" ht="13.8" x14ac:dyDescent="0.3">
      <c r="B32" s="19"/>
      <c r="C32" s="20" t="s">
        <v>89</v>
      </c>
      <c r="D32" s="32" t="s">
        <v>90</v>
      </c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</row>
    <row r="33" spans="2:15" s="18" customFormat="1" ht="13.8" x14ac:dyDescent="0.3">
      <c r="B33" s="19"/>
      <c r="C33" s="20" t="s">
        <v>91</v>
      </c>
      <c r="D33" s="35" t="s">
        <v>92</v>
      </c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</row>
    <row r="34" spans="2:15" ht="27.6" x14ac:dyDescent="0.3">
      <c r="B34" s="21">
        <v>16</v>
      </c>
      <c r="C34" s="22" t="s">
        <v>93</v>
      </c>
      <c r="D34" s="23" t="s">
        <v>94</v>
      </c>
      <c r="E34" s="23" t="s">
        <v>95</v>
      </c>
      <c r="F34" s="24">
        <v>0.01</v>
      </c>
      <c r="G34" s="25">
        <v>1</v>
      </c>
      <c r="H34" s="26">
        <f>F34 * G34 * 68421.894134</f>
        <v>684.21894134000001</v>
      </c>
      <c r="I34" s="26">
        <f>F34 * G34 * 2436.11622</f>
        <v>24.361162199999999</v>
      </c>
      <c r="J34" s="26">
        <f>F34 * G34 * 0</f>
        <v>0</v>
      </c>
      <c r="K34" s="26">
        <f>F34 * G34 * 65151.327594</f>
        <v>651.51327594000009</v>
      </c>
      <c r="L34" s="26">
        <f>F34 * G34 * 15792.68712</f>
        <v>157.92687120000002</v>
      </c>
      <c r="M34" s="26">
        <f>F34 * G34 * 13684.378827</f>
        <v>136.84378827</v>
      </c>
      <c r="N34" s="27">
        <f>SUM(H34:M34)</f>
        <v>1654.8640389500001</v>
      </c>
      <c r="O34" s="28">
        <f>IF(O3&gt;0,N34/O3/12,0)</f>
        <v>0.76571536135017582</v>
      </c>
    </row>
    <row r="35" spans="2:15" s="18" customFormat="1" ht="13.8" x14ac:dyDescent="0.3">
      <c r="B35" s="19"/>
      <c r="C35" s="20" t="s">
        <v>96</v>
      </c>
      <c r="D35" s="32" t="s">
        <v>97</v>
      </c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</row>
    <row r="36" spans="2:15" s="18" customFormat="1" ht="13.8" x14ac:dyDescent="0.3">
      <c r="B36" s="19"/>
      <c r="C36" s="20" t="s">
        <v>98</v>
      </c>
      <c r="D36" s="35" t="s">
        <v>99</v>
      </c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</row>
    <row r="37" spans="2:15" x14ac:dyDescent="0.3">
      <c r="B37" s="21">
        <v>17</v>
      </c>
      <c r="C37" s="22" t="s">
        <v>100</v>
      </c>
      <c r="D37" s="23" t="s">
        <v>101</v>
      </c>
      <c r="E37" s="23" t="s">
        <v>102</v>
      </c>
      <c r="F37" s="24">
        <v>0.02</v>
      </c>
      <c r="G37" s="25">
        <v>1</v>
      </c>
      <c r="H37" s="26">
        <f>F37 * G37 * 13775.482032</f>
        <v>275.50964063999999</v>
      </c>
      <c r="I37" s="26">
        <f>F37 * G37 * 59293.45694</f>
        <v>1185.8691388</v>
      </c>
      <c r="J37" s="26">
        <f>F37 * G37 * 0</f>
        <v>0</v>
      </c>
      <c r="K37" s="26">
        <f>F37 * G37 * 13117.013991</f>
        <v>262.34027981999998</v>
      </c>
      <c r="L37" s="26">
        <f>F37 * G37 * 9383.280709</f>
        <v>187.66561418000001</v>
      </c>
      <c r="M37" s="26">
        <f>F37 * G37 * 2755.096406</f>
        <v>55.101928120000004</v>
      </c>
      <c r="N37" s="27">
        <f>SUM(H37:M37)</f>
        <v>1966.4866015599998</v>
      </c>
      <c r="O37" s="28">
        <f>IF(O3&gt;0,N37/O3/12,0)</f>
        <v>0.90990496092911333</v>
      </c>
    </row>
    <row r="38" spans="2:15" s="15" customFormat="1" ht="14.4" x14ac:dyDescent="0.3">
      <c r="B38" s="16"/>
      <c r="C38" s="17" t="s">
        <v>103</v>
      </c>
      <c r="D38" s="33" t="s">
        <v>104</v>
      </c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</row>
    <row r="39" spans="2:15" s="18" customFormat="1" ht="13.8" x14ac:dyDescent="0.3">
      <c r="B39" s="19"/>
      <c r="C39" s="20" t="s">
        <v>105</v>
      </c>
      <c r="D39" s="32" t="s">
        <v>106</v>
      </c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</row>
    <row r="40" spans="2:15" ht="41.4" x14ac:dyDescent="0.3">
      <c r="B40" s="21">
        <v>18</v>
      </c>
      <c r="C40" s="22" t="s">
        <v>107</v>
      </c>
      <c r="D40" s="23" t="s">
        <v>108</v>
      </c>
      <c r="E40" s="23" t="s">
        <v>109</v>
      </c>
      <c r="F40" s="24">
        <v>0.05</v>
      </c>
      <c r="G40" s="25">
        <v>1</v>
      </c>
      <c r="H40" s="26">
        <f>F40 * G40 * 16704.28547</f>
        <v>835.21427349999999</v>
      </c>
      <c r="I40" s="26">
        <f>F40 * G40 * 56506.154294</f>
        <v>2825.3077147000004</v>
      </c>
      <c r="J40" s="26">
        <f>F40 * G40 * 0</f>
        <v>0</v>
      </c>
      <c r="K40" s="26">
        <f>F40 * G40 * 15905.820624</f>
        <v>795.29103120000002</v>
      </c>
      <c r="L40" s="26">
        <f>F40 * G40 * 9754.225894</f>
        <v>487.7112947</v>
      </c>
      <c r="M40" s="26">
        <f>F40 * G40 * 3340.857094</f>
        <v>167.04285470000002</v>
      </c>
      <c r="N40" s="27">
        <f>SUM(H40:M40)</f>
        <v>5110.5671688000002</v>
      </c>
      <c r="O40" s="28">
        <f>IF(O3&gt;0,N40/O3/12,0)</f>
        <v>2.3646896024430872</v>
      </c>
    </row>
    <row r="41" spans="2:15" ht="27.6" x14ac:dyDescent="0.3">
      <c r="B41" s="21">
        <v>19</v>
      </c>
      <c r="C41" s="22" t="s">
        <v>110</v>
      </c>
      <c r="D41" s="23" t="s">
        <v>111</v>
      </c>
      <c r="E41" s="23" t="s">
        <v>112</v>
      </c>
      <c r="F41" s="24">
        <v>0.08</v>
      </c>
      <c r="G41" s="25">
        <v>4</v>
      </c>
      <c r="H41" s="26">
        <f>F41 * G41 * 2369.894138</f>
        <v>758.36612416000003</v>
      </c>
      <c r="I41" s="26">
        <f>F41 * G41 * 1024.072096</f>
        <v>327.70307072000003</v>
      </c>
      <c r="J41" s="26">
        <f>F41 * G41 * 0</f>
        <v>0</v>
      </c>
      <c r="K41" s="26">
        <f>F41 * G41 * 2256.613199</f>
        <v>722.11622367999996</v>
      </c>
      <c r="L41" s="26">
        <f>F41 * G41 * 646.140896</f>
        <v>206.76508672</v>
      </c>
      <c r="M41" s="26">
        <f>F41 * G41 * 473.978828</f>
        <v>151.67322496</v>
      </c>
      <c r="N41" s="27">
        <f>SUM(H41:M41)</f>
        <v>2166.62373024</v>
      </c>
      <c r="O41" s="28">
        <f>IF(O3&gt;0,N41/O3/12,0)</f>
        <v>1.002509592004442</v>
      </c>
    </row>
    <row r="42" spans="2:15" s="15" customFormat="1" ht="14.4" x14ac:dyDescent="0.3">
      <c r="B42" s="16"/>
      <c r="C42" s="17" t="s">
        <v>113</v>
      </c>
      <c r="D42" s="33" t="s">
        <v>114</v>
      </c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</row>
    <row r="43" spans="2:15" s="18" customFormat="1" ht="13.8" x14ac:dyDescent="0.3">
      <c r="B43" s="19"/>
      <c r="C43" s="20" t="s">
        <v>115</v>
      </c>
      <c r="D43" s="32" t="s">
        <v>116</v>
      </c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</row>
    <row r="44" spans="2:15" x14ac:dyDescent="0.3">
      <c r="B44" s="21">
        <v>20</v>
      </c>
      <c r="C44" s="22" t="s">
        <v>117</v>
      </c>
      <c r="D44" s="23" t="s">
        <v>118</v>
      </c>
      <c r="E44" s="23" t="s">
        <v>119</v>
      </c>
      <c r="F44" s="24">
        <v>1</v>
      </c>
      <c r="G44" s="25">
        <v>1</v>
      </c>
      <c r="H44" s="26">
        <f>F44 * G44 * 18.771439</f>
        <v>18.771439000000001</v>
      </c>
      <c r="I44" s="26">
        <f>F44 * G44 * 2196.39366</f>
        <v>2196.3936600000002</v>
      </c>
      <c r="J44" s="26">
        <f>F44 * G44 * 0</f>
        <v>0</v>
      </c>
      <c r="K44" s="26">
        <f>F44 * G44 * 17.874164</f>
        <v>17.874164</v>
      </c>
      <c r="L44" s="26">
        <f>F44 * G44 * 235.98172</f>
        <v>235.98172</v>
      </c>
      <c r="M44" s="26">
        <f>F44 * G44 * 3.754288</f>
        <v>3.7542879999999998</v>
      </c>
      <c r="N44" s="27">
        <f>SUM(H44:M44)</f>
        <v>2472.7752710000004</v>
      </c>
      <c r="O44" s="28">
        <f>IF(O3&gt;0,N44/O3/12,0)</f>
        <v>1.144167717471775</v>
      </c>
    </row>
    <row r="45" spans="2:15" s="18" customFormat="1" ht="13.8" x14ac:dyDescent="0.3">
      <c r="B45" s="19"/>
      <c r="C45" s="20" t="s">
        <v>120</v>
      </c>
      <c r="D45" s="32" t="s">
        <v>121</v>
      </c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</row>
    <row r="46" spans="2:15" x14ac:dyDescent="0.3">
      <c r="B46" s="21">
        <v>21</v>
      </c>
      <c r="C46" s="22" t="s">
        <v>122</v>
      </c>
      <c r="D46" s="23" t="s">
        <v>123</v>
      </c>
      <c r="E46" s="23" t="s">
        <v>124</v>
      </c>
      <c r="F46" s="24">
        <v>2</v>
      </c>
      <c r="G46" s="25">
        <v>1</v>
      </c>
      <c r="H46" s="26">
        <f>F46 * G46 * 320.54487</f>
        <v>641.08974000000001</v>
      </c>
      <c r="I46" s="26">
        <f>F46 * G46 * 26.740581</f>
        <v>53.481161999999998</v>
      </c>
      <c r="J46" s="26">
        <f>F46 * G46 * 0</f>
        <v>0</v>
      </c>
      <c r="K46" s="26">
        <f>F46 * G46 * 305.222826</f>
        <v>610.445652</v>
      </c>
      <c r="L46" s="26">
        <f>F46 * G46 * 75.6031199999999</f>
        <v>151.20623999999981</v>
      </c>
      <c r="M46" s="26">
        <f>F46 * G46 * 64.108974</f>
        <v>128.21794800000001</v>
      </c>
      <c r="N46" s="27">
        <f>SUM(H46:M46)</f>
        <v>1584.4407419999998</v>
      </c>
      <c r="O46" s="28">
        <f>IF(O3&gt;0,N46/O3/12,0)</f>
        <v>0.73313008606329799</v>
      </c>
    </row>
    <row r="47" spans="2:15" s="18" customFormat="1" ht="13.8" x14ac:dyDescent="0.3">
      <c r="B47" s="19"/>
      <c r="C47" s="20" t="s">
        <v>125</v>
      </c>
      <c r="D47" s="32" t="s">
        <v>126</v>
      </c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</row>
    <row r="48" spans="2:15" x14ac:dyDescent="0.3">
      <c r="B48" s="21">
        <v>22</v>
      </c>
      <c r="C48" s="22" t="s">
        <v>127</v>
      </c>
      <c r="D48" s="23" t="s">
        <v>128</v>
      </c>
      <c r="E48" s="23" t="s">
        <v>129</v>
      </c>
      <c r="F48" s="24">
        <v>1</v>
      </c>
      <c r="G48" s="25">
        <v>1</v>
      </c>
      <c r="H48" s="26">
        <f>F48 * G48 * 44.582167</f>
        <v>44.582166999999998</v>
      </c>
      <c r="I48" s="26">
        <f>F48 * G48 * 75.27332</f>
        <v>75.273319999999998</v>
      </c>
      <c r="J48" s="26">
        <f>F48 * G48 * 0</f>
        <v>0</v>
      </c>
      <c r="K48" s="26">
        <f>F48 * G48 * 42.4511399999999</f>
        <v>42.451139999999903</v>
      </c>
      <c r="L48" s="26">
        <f>F48 * G48 * 18.064033</f>
        <v>18.064032999999998</v>
      </c>
      <c r="M48" s="26">
        <f>F48 * G48 * 8.916433</f>
        <v>8.9164329999999996</v>
      </c>
      <c r="N48" s="27">
        <f>SUM(H48:M48)</f>
        <v>189.28709299999991</v>
      </c>
      <c r="O48" s="28">
        <f>IF(O3&gt;0,N48/O3/12,0)</f>
        <v>8.7584255506200234E-2</v>
      </c>
    </row>
    <row r="49" spans="2:15" x14ac:dyDescent="0.3">
      <c r="B49" s="21">
        <v>23</v>
      </c>
      <c r="C49" s="22" t="s">
        <v>130</v>
      </c>
      <c r="D49" s="23" t="s">
        <v>131</v>
      </c>
      <c r="E49" s="23" t="s">
        <v>25</v>
      </c>
      <c r="F49" s="24">
        <v>0.01</v>
      </c>
      <c r="G49" s="25">
        <v>1</v>
      </c>
      <c r="H49" s="26">
        <f>F49 * G49 * 6019.651005</f>
        <v>60.196510050000001</v>
      </c>
      <c r="I49" s="26">
        <f>F49 * G49 * 1857.4024</f>
        <v>18.574024000000001</v>
      </c>
      <c r="J49" s="26">
        <f>F49 * G49 * 0</f>
        <v>0</v>
      </c>
      <c r="K49" s="26">
        <f>F49 * G49 * 5731.911687</f>
        <v>57.319116870000002</v>
      </c>
      <c r="L49" s="26">
        <f>F49 * G49 * 1562.760453</f>
        <v>15.627604530000001</v>
      </c>
      <c r="M49" s="26">
        <f>F49 * G49 * 1203.930201</f>
        <v>12.03930201</v>
      </c>
      <c r="N49" s="27">
        <f>SUM(H49:M49)</f>
        <v>163.75655746000001</v>
      </c>
      <c r="O49" s="28">
        <f>IF(O3&gt;0,N49/O3/12,0)</f>
        <v>7.5771125976309459E-2</v>
      </c>
    </row>
    <row r="50" spans="2:15" s="15" customFormat="1" ht="14.4" x14ac:dyDescent="0.3">
      <c r="B50" s="16"/>
      <c r="C50" s="17" t="s">
        <v>132</v>
      </c>
      <c r="D50" s="33" t="s">
        <v>133</v>
      </c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</row>
    <row r="51" spans="2:15" s="18" customFormat="1" ht="13.8" x14ac:dyDescent="0.3">
      <c r="B51" s="19"/>
      <c r="C51" s="20" t="s">
        <v>134</v>
      </c>
      <c r="D51" s="32" t="s">
        <v>135</v>
      </c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</row>
    <row r="52" spans="2:15" ht="27.6" x14ac:dyDescent="0.3">
      <c r="B52" s="21">
        <v>24</v>
      </c>
      <c r="C52" s="22" t="s">
        <v>136</v>
      </c>
      <c r="D52" s="23" t="s">
        <v>137</v>
      </c>
      <c r="E52" s="23" t="s">
        <v>138</v>
      </c>
      <c r="F52" s="24">
        <v>0.18</v>
      </c>
      <c r="G52" s="25">
        <v>2</v>
      </c>
      <c r="H52" s="26">
        <f>F52 * G52 * 91.510764</f>
        <v>32.943875039999995</v>
      </c>
      <c r="I52" s="26">
        <f>F52 * G52 * 0</f>
        <v>0</v>
      </c>
      <c r="J52" s="26">
        <f>F52 * G52 * 0</f>
        <v>0</v>
      </c>
      <c r="K52" s="26">
        <f>F52 * G52 * 87.13655</f>
        <v>31.369157999999999</v>
      </c>
      <c r="L52" s="26">
        <f>F52 * G52 * 20.7781679999999</f>
        <v>7.4801404799999638</v>
      </c>
      <c r="M52" s="26">
        <f>F52 * G52 * 18.302153</f>
        <v>6.5887750799999996</v>
      </c>
      <c r="N52" s="27">
        <f>SUM(H52:M52)</f>
        <v>78.381948599999959</v>
      </c>
      <c r="O52" s="28">
        <f>IF(O3&gt;0,N52/O3/12,0)</f>
        <v>3.626779039422541E-2</v>
      </c>
    </row>
    <row r="53" spans="2:15" ht="27.6" x14ac:dyDescent="0.3">
      <c r="B53" s="21">
        <v>25</v>
      </c>
      <c r="C53" s="22" t="s">
        <v>139</v>
      </c>
      <c r="D53" s="23" t="s">
        <v>140</v>
      </c>
      <c r="E53" s="23" t="s">
        <v>138</v>
      </c>
      <c r="F53" s="24">
        <v>0.18</v>
      </c>
      <c r="G53" s="25">
        <v>2</v>
      </c>
      <c r="H53" s="26">
        <f>F53 * G53 * 729.73968</f>
        <v>262.70628479999999</v>
      </c>
      <c r="I53" s="26">
        <f>F53 * G53 * 0</f>
        <v>0</v>
      </c>
      <c r="J53" s="26">
        <f>F53 * G53 * 0</f>
        <v>0</v>
      </c>
      <c r="K53" s="26">
        <f>F53 * G53 * 694.858123</f>
        <v>250.14892427999999</v>
      </c>
      <c r="L53" s="26">
        <f>F53 * G53 * 165.692576</f>
        <v>59.649327360000001</v>
      </c>
      <c r="M53" s="26">
        <f>F53 * G53 * 145.947936</f>
        <v>52.541256959999998</v>
      </c>
      <c r="N53" s="27">
        <f>SUM(H53:M53)</f>
        <v>625.04579340000009</v>
      </c>
      <c r="O53" s="28">
        <f>IF(O3&gt;0,N53/O3/12,0)</f>
        <v>0.28921237895613555</v>
      </c>
    </row>
    <row r="54" spans="2:15" ht="27.6" x14ac:dyDescent="0.3">
      <c r="B54" s="21">
        <v>26</v>
      </c>
      <c r="C54" s="22" t="s">
        <v>141</v>
      </c>
      <c r="D54" s="23" t="s">
        <v>142</v>
      </c>
      <c r="E54" s="23" t="s">
        <v>138</v>
      </c>
      <c r="F54" s="24">
        <v>0.18</v>
      </c>
      <c r="G54" s="25">
        <v>2</v>
      </c>
      <c r="H54" s="26">
        <f>F54 * G54 * 662.28279</f>
        <v>238.42180439999998</v>
      </c>
      <c r="I54" s="26">
        <f>F54 * G54 * 0</f>
        <v>0</v>
      </c>
      <c r="J54" s="26">
        <f>F54 * G54 * 0</f>
        <v>0</v>
      </c>
      <c r="K54" s="26">
        <f>F54 * G54 * 630.625673</f>
        <v>227.02524227999999</v>
      </c>
      <c r="L54" s="26">
        <f>F54 * G54 * 150.37601</f>
        <v>54.135363599999998</v>
      </c>
      <c r="M54" s="26">
        <f>F54 * G54 * 132.456558</f>
        <v>47.68436088</v>
      </c>
      <c r="N54" s="27">
        <f>SUM(H54:M54)</f>
        <v>567.26677115999996</v>
      </c>
      <c r="O54" s="28">
        <f>IF(O3&gt;0,N54/O3/12,0)</f>
        <v>0.26247768423098278</v>
      </c>
    </row>
    <row r="55" spans="2:15" x14ac:dyDescent="0.3">
      <c r="B55" s="21">
        <v>27</v>
      </c>
      <c r="C55" s="22" t="s">
        <v>143</v>
      </c>
      <c r="D55" s="23" t="s">
        <v>144</v>
      </c>
      <c r="E55" s="23" t="s">
        <v>145</v>
      </c>
      <c r="F55" s="24"/>
      <c r="G55" s="25">
        <v>2</v>
      </c>
      <c r="H55" s="26">
        <f>F55 * G55 * 296.70269</f>
        <v>0</v>
      </c>
      <c r="I55" s="26">
        <f>F55 * G55 * 0</f>
        <v>0</v>
      </c>
      <c r="J55" s="26">
        <f>F55 * G55 * 0</f>
        <v>0</v>
      </c>
      <c r="K55" s="26">
        <f>F55 * G55 * 282.520302</f>
        <v>0</v>
      </c>
      <c r="L55" s="26">
        <f>F55 * G55 * 67.368453</f>
        <v>0</v>
      </c>
      <c r="M55" s="26">
        <f>F55 * G55 * 59.340538</f>
        <v>0</v>
      </c>
      <c r="N55" s="27">
        <f>SUM(H55:M55)</f>
        <v>0</v>
      </c>
      <c r="O55" s="28">
        <f>IF(O3&gt;0,N55/O3/12,0)</f>
        <v>0</v>
      </c>
    </row>
    <row r="56" spans="2:15" ht="27.6" x14ac:dyDescent="0.3">
      <c r="B56" s="21">
        <v>28</v>
      </c>
      <c r="C56" s="22" t="s">
        <v>146</v>
      </c>
      <c r="D56" s="23" t="s">
        <v>147</v>
      </c>
      <c r="E56" s="23" t="s">
        <v>138</v>
      </c>
      <c r="F56" s="24">
        <v>0.18</v>
      </c>
      <c r="G56" s="25">
        <v>2</v>
      </c>
      <c r="H56" s="26">
        <f>F56 * G56 * 1059.652464</f>
        <v>381.47488704</v>
      </c>
      <c r="I56" s="26">
        <f>F56 * G56 * 0</f>
        <v>0</v>
      </c>
      <c r="J56" s="26">
        <f>F56 * G56 * 0</f>
        <v>0</v>
      </c>
      <c r="K56" s="26">
        <f>F56 * G56 * 1009.00107699999</f>
        <v>363.24038771999636</v>
      </c>
      <c r="L56" s="26">
        <f>F56 * G56 * 240.601614999999</f>
        <v>86.616581399999632</v>
      </c>
      <c r="M56" s="26">
        <f>F56 * G56 * 211.930493</f>
        <v>76.29497748</v>
      </c>
      <c r="N56" s="27">
        <f>SUM(H56:M56)</f>
        <v>907.62683363999599</v>
      </c>
      <c r="O56" s="28">
        <f>IF(O3&gt;0,N56/O3/12,0)</f>
        <v>0.41996429466962609</v>
      </c>
    </row>
    <row r="57" spans="2:15" s="18" customFormat="1" ht="13.8" x14ac:dyDescent="0.3">
      <c r="B57" s="19"/>
      <c r="C57" s="20" t="s">
        <v>148</v>
      </c>
      <c r="D57" s="32" t="s">
        <v>149</v>
      </c>
      <c r="E57" s="32"/>
      <c r="F57" s="32"/>
      <c r="G57" s="32"/>
      <c r="H57" s="32"/>
      <c r="I57" s="32"/>
      <c r="J57" s="32"/>
      <c r="K57" s="32"/>
      <c r="L57" s="32"/>
      <c r="M57" s="32"/>
      <c r="N57" s="32"/>
      <c r="O57" s="32"/>
    </row>
    <row r="58" spans="2:15" ht="27.6" x14ac:dyDescent="0.3">
      <c r="B58" s="21">
        <v>29</v>
      </c>
      <c r="C58" s="22" t="s">
        <v>150</v>
      </c>
      <c r="D58" s="23" t="s">
        <v>151</v>
      </c>
      <c r="E58" s="23" t="s">
        <v>152</v>
      </c>
      <c r="F58" s="24">
        <v>0.40799999999999997</v>
      </c>
      <c r="G58" s="25">
        <v>1</v>
      </c>
      <c r="H58" s="26">
        <f>F58 * G58 * 688.774102</f>
        <v>281.01983361599997</v>
      </c>
      <c r="I58" s="26">
        <f>F58 * G58 * 0</f>
        <v>0</v>
      </c>
      <c r="J58" s="26">
        <f>F58 * G58 * 0</f>
        <v>0</v>
      </c>
      <c r="K58" s="26">
        <f>F58 * G58 * 655.8507</f>
        <v>267.58708559999997</v>
      </c>
      <c r="L58" s="26">
        <f>F58 * G58 * 156.39105</f>
        <v>63.807548400000002</v>
      </c>
      <c r="M58" s="26">
        <f>F58 * G58 * 137.75482</f>
        <v>56.203966559999998</v>
      </c>
      <c r="N58" s="27">
        <f>SUM(H58:M58)</f>
        <v>668.61843417599994</v>
      </c>
      <c r="O58" s="28">
        <f>IF(O3&gt;0,N58/O3/12,0)</f>
        <v>0.30937369710161017</v>
      </c>
    </row>
    <row r="59" spans="2:15" s="18" customFormat="1" ht="13.8" x14ac:dyDescent="0.3">
      <c r="B59" s="19"/>
      <c r="C59" s="20" t="s">
        <v>153</v>
      </c>
      <c r="D59" s="32" t="s">
        <v>154</v>
      </c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</row>
    <row r="60" spans="2:15" ht="27.6" x14ac:dyDescent="0.3">
      <c r="B60" s="21">
        <v>30</v>
      </c>
      <c r="C60" s="22" t="s">
        <v>155</v>
      </c>
      <c r="D60" s="23" t="s">
        <v>156</v>
      </c>
      <c r="E60" s="23" t="s">
        <v>138</v>
      </c>
      <c r="F60" s="24">
        <v>0.18</v>
      </c>
      <c r="G60" s="25">
        <v>1</v>
      </c>
      <c r="H60" s="26">
        <f>F60 * G60 * 985.500533</f>
        <v>177.39009594000001</v>
      </c>
      <c r="I60" s="26">
        <f>F60 * G60 * 0</f>
        <v>0</v>
      </c>
      <c r="J60" s="26">
        <f>F60 * G60 * 0</f>
        <v>0</v>
      </c>
      <c r="K60" s="26">
        <f>F60 * G60 * 938.393607</f>
        <v>168.91084925999999</v>
      </c>
      <c r="L60" s="26">
        <f>F60 * G60 * 223.764893</f>
        <v>40.277680740000001</v>
      </c>
      <c r="M60" s="26">
        <f>F60 * G60 * 197.100107</f>
        <v>35.478019260000003</v>
      </c>
      <c r="N60" s="27">
        <f>SUM(H60:M60)</f>
        <v>422.05664519999999</v>
      </c>
      <c r="O60" s="28">
        <f>IF(O3&gt;0,N60/O3/12,0)</f>
        <v>0.19528810161021656</v>
      </c>
    </row>
    <row r="61" spans="2:15" s="18" customFormat="1" ht="13.8" x14ac:dyDescent="0.3">
      <c r="B61" s="19"/>
      <c r="C61" s="20" t="s">
        <v>157</v>
      </c>
      <c r="D61" s="32" t="s">
        <v>158</v>
      </c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</row>
    <row r="62" spans="2:15" s="18" customFormat="1" ht="13.8" x14ac:dyDescent="0.3">
      <c r="B62" s="19"/>
      <c r="C62" s="20" t="s">
        <v>159</v>
      </c>
      <c r="D62" s="35" t="s">
        <v>160</v>
      </c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</row>
    <row r="63" spans="2:15" ht="27.6" x14ac:dyDescent="0.3">
      <c r="B63" s="21">
        <v>31</v>
      </c>
      <c r="C63" s="22" t="s">
        <v>161</v>
      </c>
      <c r="D63" s="23" t="s">
        <v>162</v>
      </c>
      <c r="E63" s="23" t="s">
        <v>138</v>
      </c>
      <c r="F63" s="24">
        <v>0.18</v>
      </c>
      <c r="G63" s="25">
        <v>2</v>
      </c>
      <c r="H63" s="26">
        <f>F63 * G63 * 2649.13116</f>
        <v>953.68721759999994</v>
      </c>
      <c r="I63" s="26">
        <f>F63 * G63 * 0</f>
        <v>0</v>
      </c>
      <c r="J63" s="26">
        <f>F63 * G63 * 0</f>
        <v>0</v>
      </c>
      <c r="K63" s="26">
        <f>F63 * G63 * 2522.502691</f>
        <v>908.10096876</v>
      </c>
      <c r="L63" s="26">
        <f>F63 * G63 * 601.504038</f>
        <v>216.54145368000002</v>
      </c>
      <c r="M63" s="26">
        <f>F63 * G63 * 529.826232</f>
        <v>190.73744352</v>
      </c>
      <c r="N63" s="27">
        <f>SUM(H63:M63)</f>
        <v>2269.0670835599999</v>
      </c>
      <c r="O63" s="28">
        <f>IF(O3&gt;0,N63/O3/12,0)</f>
        <v>1.0499107364242086</v>
      </c>
    </row>
    <row r="64" spans="2:15" ht="41.4" x14ac:dyDescent="0.3">
      <c r="B64" s="21">
        <v>32</v>
      </c>
      <c r="C64" s="22" t="s">
        <v>163</v>
      </c>
      <c r="D64" s="23" t="s">
        <v>164</v>
      </c>
      <c r="E64" s="23" t="s">
        <v>165</v>
      </c>
      <c r="F64" s="24">
        <v>0.18</v>
      </c>
      <c r="G64" s="25">
        <v>2</v>
      </c>
      <c r="H64" s="26">
        <f>F64 * G64 * 1059.652464</f>
        <v>381.47488704</v>
      </c>
      <c r="I64" s="26">
        <f>F64 * G64 * 0</f>
        <v>0</v>
      </c>
      <c r="J64" s="26">
        <f>F64 * G64 * 0</f>
        <v>0</v>
      </c>
      <c r="K64" s="26">
        <f>F64 * G64 * 1009.00107699999</f>
        <v>363.24038771999636</v>
      </c>
      <c r="L64" s="26">
        <f>F64 * G64 * 240.601614999999</f>
        <v>86.616581399999632</v>
      </c>
      <c r="M64" s="26">
        <f>F64 * G64 * 211.930493</f>
        <v>76.29497748</v>
      </c>
      <c r="N64" s="27">
        <f>SUM(H64:M64)</f>
        <v>907.62683363999599</v>
      </c>
      <c r="O64" s="28">
        <f>IF(O3&gt;0,N64/O3/12,0)</f>
        <v>0.41996429466962609</v>
      </c>
    </row>
    <row r="65" spans="2:15" s="18" customFormat="1" ht="13.8" x14ac:dyDescent="0.3">
      <c r="B65" s="19"/>
      <c r="C65" s="20" t="s">
        <v>166</v>
      </c>
      <c r="D65" s="35" t="s">
        <v>167</v>
      </c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</row>
    <row r="66" spans="2:15" ht="27.6" x14ac:dyDescent="0.3">
      <c r="B66" s="21">
        <v>33</v>
      </c>
      <c r="C66" s="22" t="s">
        <v>168</v>
      </c>
      <c r="D66" s="23" t="s">
        <v>169</v>
      </c>
      <c r="E66" s="23" t="s">
        <v>170</v>
      </c>
      <c r="F66" s="24">
        <v>0.02</v>
      </c>
      <c r="G66" s="25">
        <v>1</v>
      </c>
      <c r="H66" s="26">
        <f>F66 * G66 * 28.157158</f>
        <v>0.56314315999999998</v>
      </c>
      <c r="I66" s="26">
        <f>F66 * G66 * 0</f>
        <v>0</v>
      </c>
      <c r="J66" s="26">
        <f>F66 * G66 * 0</f>
        <v>0</v>
      </c>
      <c r="K66" s="26">
        <f>F66 * G66 * 26.811246</f>
        <v>0.53622491999999999</v>
      </c>
      <c r="L66" s="26">
        <f>F66 * G66 * 6.393282</f>
        <v>0.12786564</v>
      </c>
      <c r="M66" s="26">
        <f>F66 * G66 * 5.631432</f>
        <v>0.11262864</v>
      </c>
      <c r="N66" s="27">
        <f>SUM(H66:M66)</f>
        <v>1.3398623600000001</v>
      </c>
      <c r="O66" s="28">
        <f>IF(O3&gt;0,N66/O3/12,0)</f>
        <v>6.1996222468998715E-4</v>
      </c>
    </row>
    <row r="67" spans="2:15" s="18" customFormat="1" ht="13.8" x14ac:dyDescent="0.3">
      <c r="B67" s="19"/>
      <c r="C67" s="20" t="s">
        <v>171</v>
      </c>
      <c r="D67" s="35" t="s">
        <v>172</v>
      </c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</row>
    <row r="68" spans="2:15" s="18" customFormat="1" ht="13.8" x14ac:dyDescent="0.3">
      <c r="B68" s="19"/>
      <c r="C68" s="20" t="s">
        <v>173</v>
      </c>
      <c r="D68" s="36" t="s">
        <v>174</v>
      </c>
      <c r="E68" s="36"/>
      <c r="F68" s="36"/>
      <c r="G68" s="36"/>
      <c r="H68" s="36"/>
      <c r="I68" s="36"/>
      <c r="J68" s="36"/>
      <c r="K68" s="36"/>
      <c r="L68" s="36"/>
      <c r="M68" s="36"/>
      <c r="N68" s="36"/>
      <c r="O68" s="36"/>
    </row>
    <row r="69" spans="2:15" ht="27.6" x14ac:dyDescent="0.3">
      <c r="B69" s="21">
        <v>34</v>
      </c>
      <c r="C69" s="22" t="s">
        <v>175</v>
      </c>
      <c r="D69" s="23" t="s">
        <v>176</v>
      </c>
      <c r="E69" s="23" t="s">
        <v>177</v>
      </c>
      <c r="F69" s="24">
        <v>0.02</v>
      </c>
      <c r="G69" s="25">
        <v>1</v>
      </c>
      <c r="H69" s="26">
        <f>F69 * G69 * 13140.007104</f>
        <v>262.80014208</v>
      </c>
      <c r="I69" s="26">
        <f>F69 * G69 * 0</f>
        <v>0</v>
      </c>
      <c r="J69" s="26">
        <f>F69 * G69 * 0</f>
        <v>0</v>
      </c>
      <c r="K69" s="26">
        <f>F69 * G69 * 12511.914765</f>
        <v>250.2382953</v>
      </c>
      <c r="L69" s="26">
        <f>F69 * G69 * 2983.531907</f>
        <v>59.670638140000001</v>
      </c>
      <c r="M69" s="26">
        <f>F69 * G69 * 2628.001421</f>
        <v>52.560028420000002</v>
      </c>
      <c r="N69" s="27">
        <f>SUM(H69:M69)</f>
        <v>625.26910394000004</v>
      </c>
      <c r="O69" s="28">
        <f>IF(O3&gt;0,N69/O3/12,0)</f>
        <v>0.28931570606144735</v>
      </c>
    </row>
    <row r="70" spans="2:15" ht="27.6" x14ac:dyDescent="0.3">
      <c r="B70" s="21">
        <v>35</v>
      </c>
      <c r="C70" s="22" t="s">
        <v>178</v>
      </c>
      <c r="D70" s="23" t="s">
        <v>179</v>
      </c>
      <c r="E70" s="23" t="s">
        <v>180</v>
      </c>
      <c r="F70" s="24">
        <v>0.01</v>
      </c>
      <c r="G70" s="25">
        <v>1</v>
      </c>
      <c r="H70" s="26">
        <f>F70 * G70 * 4458.216696</f>
        <v>44.582166960000002</v>
      </c>
      <c r="I70" s="26">
        <f>F70 * G70 * 0</f>
        <v>0</v>
      </c>
      <c r="J70" s="26">
        <f>F70 * G70 * 0</f>
        <v>0</v>
      </c>
      <c r="K70" s="26">
        <f>F70 * G70 * 4245.11393799999</f>
        <v>42.451139379999908</v>
      </c>
      <c r="L70" s="26">
        <f>F70 * G70 * 1012.269754</f>
        <v>10.122697540000001</v>
      </c>
      <c r="M70" s="26">
        <f>F70 * G70 * 891.643339</f>
        <v>8.9164333899999999</v>
      </c>
      <c r="N70" s="27">
        <f>SUM(H70:M70)</f>
        <v>106.07243726999991</v>
      </c>
      <c r="O70" s="28">
        <f>IF(O3&gt;0,N70/O3/12,0)</f>
        <v>4.9080342990005514E-2</v>
      </c>
    </row>
    <row r="71" spans="2:15" s="15" customFormat="1" ht="14.4" x14ac:dyDescent="0.3">
      <c r="B71" s="16"/>
      <c r="C71" s="17" t="s">
        <v>181</v>
      </c>
      <c r="D71" s="33" t="s">
        <v>182</v>
      </c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</row>
    <row r="72" spans="2:15" ht="55.2" x14ac:dyDescent="0.3">
      <c r="B72" s="21">
        <v>36</v>
      </c>
      <c r="C72" s="22" t="s">
        <v>183</v>
      </c>
      <c r="D72" s="23" t="s">
        <v>184</v>
      </c>
      <c r="E72" s="23" t="s">
        <v>185</v>
      </c>
      <c r="F72" s="24">
        <v>0.18</v>
      </c>
      <c r="G72" s="25">
        <v>3</v>
      </c>
      <c r="H72" s="26">
        <f>F72 * G72 * 3497.07076</f>
        <v>1888.4182104000001</v>
      </c>
      <c r="I72" s="26">
        <f>F72 * G72 * 0</f>
        <v>0</v>
      </c>
      <c r="J72" s="26">
        <f>F72 * G72 * 0</f>
        <v>0</v>
      </c>
      <c r="K72" s="26">
        <f>F72 * G72 * 3329.91077799999</f>
        <v>1798.1518201199947</v>
      </c>
      <c r="L72" s="26">
        <f>F72 * G72 * 794.034745</f>
        <v>428.77876230000004</v>
      </c>
      <c r="M72" s="26">
        <f>F72 * G72 * 699.414152</f>
        <v>377.68364207999997</v>
      </c>
      <c r="N72" s="27">
        <f>SUM(H72:M72)</f>
        <v>4493.0324348999948</v>
      </c>
      <c r="O72" s="28">
        <f>IF(O3&gt;0,N72/O3/12,0)</f>
        <v>2.078952635063851</v>
      </c>
    </row>
    <row r="73" spans="2:15" s="15" customFormat="1" ht="14.4" x14ac:dyDescent="0.3">
      <c r="B73" s="16"/>
      <c r="C73" s="17" t="s">
        <v>186</v>
      </c>
      <c r="D73" s="33" t="s">
        <v>187</v>
      </c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</row>
    <row r="74" spans="2:15" s="18" customFormat="1" ht="13.8" x14ac:dyDescent="0.3">
      <c r="B74" s="19"/>
      <c r="C74" s="20" t="s">
        <v>188</v>
      </c>
      <c r="D74" s="32" t="s">
        <v>189</v>
      </c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</row>
    <row r="75" spans="2:15" s="18" customFormat="1" ht="13.8" x14ac:dyDescent="0.3">
      <c r="B75" s="19"/>
      <c r="C75" s="20" t="s">
        <v>190</v>
      </c>
      <c r="D75" s="35" t="s">
        <v>191</v>
      </c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</row>
    <row r="76" spans="2:15" s="18" customFormat="1" ht="13.8" x14ac:dyDescent="0.3">
      <c r="B76" s="19"/>
      <c r="C76" s="20" t="s">
        <v>192</v>
      </c>
      <c r="D76" s="36" t="s">
        <v>193</v>
      </c>
      <c r="E76" s="36"/>
      <c r="F76" s="36"/>
      <c r="G76" s="36"/>
      <c r="H76" s="36"/>
      <c r="I76" s="36"/>
      <c r="J76" s="36"/>
      <c r="K76" s="36"/>
      <c r="L76" s="36"/>
      <c r="M76" s="36"/>
      <c r="N76" s="36"/>
      <c r="O76" s="36"/>
    </row>
    <row r="77" spans="2:15" ht="41.4" x14ac:dyDescent="0.3">
      <c r="B77" s="21">
        <v>37</v>
      </c>
      <c r="C77" s="22" t="s">
        <v>194</v>
      </c>
      <c r="D77" s="23" t="s">
        <v>195</v>
      </c>
      <c r="E77" s="23" t="s">
        <v>196</v>
      </c>
      <c r="F77" s="24">
        <v>0.24399999999999999</v>
      </c>
      <c r="G77" s="25">
        <v>96</v>
      </c>
      <c r="H77" s="26">
        <f>F77 * G77 * 211.011507</f>
        <v>4942.7335399679996</v>
      </c>
      <c r="I77" s="26">
        <f>F77 * G77 * 0</f>
        <v>0</v>
      </c>
      <c r="J77" s="26">
        <f>F77 * G77 * 0</f>
        <v>0</v>
      </c>
      <c r="K77" s="26">
        <f>F77 * G77 * 200.925156999999</f>
        <v>4706.4708775679765</v>
      </c>
      <c r="L77" s="26">
        <f>F77 * G77 * 47.9116609999999</f>
        <v>1122.2827472639976</v>
      </c>
      <c r="M77" s="26">
        <f>F77 * G77 * 42.202301</f>
        <v>988.54669862399999</v>
      </c>
      <c r="N77" s="27">
        <f>SUM(H77:M77)</f>
        <v>11760.033863423976</v>
      </c>
      <c r="O77" s="28">
        <f>IF(O3&gt;0,N77/O3/12,0)</f>
        <v>5.4414371013436869</v>
      </c>
    </row>
    <row r="78" spans="2:15" s="18" customFormat="1" ht="13.8" x14ac:dyDescent="0.3">
      <c r="B78" s="19"/>
      <c r="C78" s="20" t="s">
        <v>197</v>
      </c>
      <c r="D78" s="36" t="s">
        <v>198</v>
      </c>
      <c r="E78" s="36"/>
      <c r="F78" s="36"/>
      <c r="G78" s="36"/>
      <c r="H78" s="36"/>
      <c r="I78" s="36"/>
      <c r="J78" s="36"/>
      <c r="K78" s="36"/>
      <c r="L78" s="36"/>
      <c r="M78" s="36"/>
      <c r="N78" s="36"/>
      <c r="O78" s="36"/>
    </row>
    <row r="79" spans="2:15" ht="27.6" x14ac:dyDescent="0.3">
      <c r="B79" s="21">
        <v>38</v>
      </c>
      <c r="C79" s="22" t="s">
        <v>199</v>
      </c>
      <c r="D79" s="23" t="s">
        <v>200</v>
      </c>
      <c r="E79" s="23" t="s">
        <v>201</v>
      </c>
      <c r="F79" s="24">
        <v>0.24399999999999999</v>
      </c>
      <c r="G79" s="25">
        <v>24</v>
      </c>
      <c r="H79" s="26">
        <f>F79 * G79 * 482.986665</f>
        <v>2828.3699102400001</v>
      </c>
      <c r="I79" s="26">
        <f>F79 * G79 * 75.30622</f>
        <v>440.99322431999997</v>
      </c>
      <c r="J79" s="26">
        <f>F79 * G79 * 0</f>
        <v>0</v>
      </c>
      <c r="K79" s="26">
        <f>F79 * G79 * 459.899902</f>
        <v>2693.1738261119999</v>
      </c>
      <c r="L79" s="26">
        <f>F79 * G79 * 117.610357999999</f>
        <v>688.72625644799416</v>
      </c>
      <c r="M79" s="26">
        <f>F79 * G79 * 96.597333</f>
        <v>565.67398204799997</v>
      </c>
      <c r="N79" s="27">
        <f>SUM(H79:M79)</f>
        <v>7216.9371991679936</v>
      </c>
      <c r="O79" s="28">
        <f>IF(O3&gt;0,N79/O3/12,0)</f>
        <v>3.3393194517712352</v>
      </c>
    </row>
    <row r="80" spans="2:15" s="18" customFormat="1" ht="13.8" x14ac:dyDescent="0.3">
      <c r="B80" s="19"/>
      <c r="C80" s="20" t="s">
        <v>202</v>
      </c>
      <c r="D80" s="32" t="s">
        <v>203</v>
      </c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</row>
    <row r="81" spans="2:15" ht="27.6" x14ac:dyDescent="0.3">
      <c r="B81" s="21">
        <v>39</v>
      </c>
      <c r="C81" s="22" t="s">
        <v>204</v>
      </c>
      <c r="D81" s="23" t="s">
        <v>205</v>
      </c>
      <c r="E81" s="23" t="s">
        <v>206</v>
      </c>
      <c r="F81" s="24">
        <v>2.4E-2</v>
      </c>
      <c r="G81" s="25">
        <v>2</v>
      </c>
      <c r="H81" s="26">
        <f>F81 * G81 * 490.070469</f>
        <v>23.523382512000001</v>
      </c>
      <c r="I81" s="26">
        <f>F81 * G81 * 65.010635</f>
        <v>3.1205104799999996</v>
      </c>
      <c r="J81" s="26">
        <f>F81 * G81 * 0</f>
        <v>0</v>
      </c>
      <c r="K81" s="26">
        <f>F81 * G81 * 466.645100999999</f>
        <v>22.398964847999952</v>
      </c>
      <c r="L81" s="26">
        <f>F81 * G81 * 118.132601</f>
        <v>5.6703648480000002</v>
      </c>
      <c r="M81" s="26">
        <f>F81 * G81 * 98.014094</f>
        <v>4.7046765119999998</v>
      </c>
      <c r="N81" s="27">
        <f>SUM(H81:M81)</f>
        <v>59.417899199999951</v>
      </c>
      <c r="O81" s="28">
        <f>IF(O3&gt;0,N81/O3/12,0)</f>
        <v>2.7493012770682931E-2</v>
      </c>
    </row>
    <row r="82" spans="2:15" ht="27.6" x14ac:dyDescent="0.3">
      <c r="B82" s="21">
        <v>40</v>
      </c>
      <c r="C82" s="22" t="s">
        <v>207</v>
      </c>
      <c r="D82" s="23" t="s">
        <v>208</v>
      </c>
      <c r="E82" s="23" t="s">
        <v>209</v>
      </c>
      <c r="F82" s="24">
        <v>3.3000000000000002E-2</v>
      </c>
      <c r="G82" s="25">
        <v>2</v>
      </c>
      <c r="H82" s="26">
        <f>F82 * G82 * 468.604395</f>
        <v>30.927890070000004</v>
      </c>
      <c r="I82" s="26">
        <f>F82 * G82 * 65.010635</f>
        <v>4.2907019100000001</v>
      </c>
      <c r="J82" s="26">
        <f>F82 * G82 * 0</f>
        <v>0</v>
      </c>
      <c r="K82" s="26">
        <f>F82 * G82 * 446.205105</f>
        <v>29.449536930000001</v>
      </c>
      <c r="L82" s="26">
        <f>F82 * G82 * 113.258577</f>
        <v>7.4750660820000006</v>
      </c>
      <c r="M82" s="26">
        <f>F82 * G82 * 93.720879</f>
        <v>6.1855780139999998</v>
      </c>
      <c r="N82" s="27">
        <f>SUM(H82:M82)</f>
        <v>78.328773006000006</v>
      </c>
      <c r="O82" s="28">
        <f>IF(O3&gt;0,N82/O3/12,0)</f>
        <v>3.6243185732926154E-2</v>
      </c>
    </row>
    <row r="83" spans="2:15" s="18" customFormat="1" ht="13.8" x14ac:dyDescent="0.3">
      <c r="B83" s="19"/>
      <c r="C83" s="20" t="s">
        <v>210</v>
      </c>
      <c r="D83" s="32" t="s">
        <v>211</v>
      </c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</row>
    <row r="84" spans="2:15" s="18" customFormat="1" ht="13.8" x14ac:dyDescent="0.3">
      <c r="B84" s="19"/>
      <c r="C84" s="20" t="s">
        <v>212</v>
      </c>
      <c r="D84" s="35" t="s">
        <v>213</v>
      </c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</row>
    <row r="85" spans="2:15" x14ac:dyDescent="0.3">
      <c r="B85" s="21">
        <v>41</v>
      </c>
      <c r="C85" s="22" t="s">
        <v>214</v>
      </c>
      <c r="D85" s="23" t="s">
        <v>215</v>
      </c>
      <c r="E85" s="23" t="s">
        <v>216</v>
      </c>
      <c r="F85" s="24">
        <v>0.54100000000000004</v>
      </c>
      <c r="G85" s="25">
        <v>2</v>
      </c>
      <c r="H85" s="26">
        <f>F85 * G85 * 92.98668</f>
        <v>100.61158776000002</v>
      </c>
      <c r="I85" s="26">
        <f>F85 * G85 * 56.6585</f>
        <v>61.304496999999998</v>
      </c>
      <c r="J85" s="26">
        <f>F85 * G85 * 0</f>
        <v>0</v>
      </c>
      <c r="K85" s="26">
        <f>F85 * G85 * 88.541917</f>
        <v>95.802354194000003</v>
      </c>
      <c r="L85" s="26">
        <f>F85 * G85 * 27.090757</f>
        <v>29.312199074000002</v>
      </c>
      <c r="M85" s="26">
        <f>F85 * G85 * 18.597336</f>
        <v>20.122317551999998</v>
      </c>
      <c r="N85" s="27">
        <f>SUM(H85:M85)</f>
        <v>307.15295558000003</v>
      </c>
      <c r="O85" s="28">
        <f>IF(O3&gt;0,N85/O3/12,0)</f>
        <v>0.14212148601702759</v>
      </c>
    </row>
    <row r="86" spans="2:15" s="18" customFormat="1" ht="13.8" x14ac:dyDescent="0.3">
      <c r="B86" s="19"/>
      <c r="C86" s="20" t="s">
        <v>217</v>
      </c>
      <c r="D86" s="32" t="s">
        <v>218</v>
      </c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</row>
    <row r="87" spans="2:15" ht="27.6" x14ac:dyDescent="0.3">
      <c r="B87" s="21">
        <v>42</v>
      </c>
      <c r="C87" s="22" t="s">
        <v>219</v>
      </c>
      <c r="D87" s="23" t="s">
        <v>220</v>
      </c>
      <c r="E87" s="23" t="s">
        <v>221</v>
      </c>
      <c r="F87" s="24"/>
      <c r="G87" s="25">
        <v>2</v>
      </c>
      <c r="H87" s="26">
        <f>F87 * G87 * 229.04301</f>
        <v>0</v>
      </c>
      <c r="I87" s="26">
        <f>F87 * G87 * 45.7545</f>
        <v>0</v>
      </c>
      <c r="J87" s="26">
        <f>F87 * G87 * 0</f>
        <v>0</v>
      </c>
      <c r="K87" s="26">
        <f>F87 * G87 * 218.094755</f>
        <v>0</v>
      </c>
      <c r="L87" s="26">
        <f>F87 * G87 * 56.832941</f>
        <v>0</v>
      </c>
      <c r="M87" s="26">
        <f>F87 * G87 * 45.808602</f>
        <v>0</v>
      </c>
      <c r="N87" s="27">
        <f>SUM(H87:M87)</f>
        <v>0</v>
      </c>
      <c r="O87" s="28">
        <f>IF(O3&gt;0,N87/O3/12,0)</f>
        <v>0</v>
      </c>
    </row>
    <row r="88" spans="2:15" ht="27.6" x14ac:dyDescent="0.3">
      <c r="B88" s="21">
        <v>43</v>
      </c>
      <c r="C88" s="22" t="s">
        <v>222</v>
      </c>
      <c r="D88" s="23" t="s">
        <v>223</v>
      </c>
      <c r="E88" s="23" t="s">
        <v>224</v>
      </c>
      <c r="F88" s="24">
        <v>0.01</v>
      </c>
      <c r="G88" s="25">
        <v>2</v>
      </c>
      <c r="H88" s="26">
        <f>F88 * G88 * 390.038565</f>
        <v>7.8007713000000001</v>
      </c>
      <c r="I88" s="26">
        <f>F88 * G88 * 45.83252</f>
        <v>0.91665040000000009</v>
      </c>
      <c r="J88" s="26">
        <f>F88 * G88 * 0</f>
        <v>0</v>
      </c>
      <c r="K88" s="26">
        <f>F88 * G88 * 371.394721</f>
        <v>7.4278944200000003</v>
      </c>
      <c r="L88" s="26">
        <f>F88 * G88 * 93.396357</f>
        <v>1.8679271399999999</v>
      </c>
      <c r="M88" s="26">
        <f>F88 * G88 * 78.007713</f>
        <v>1.56015426</v>
      </c>
      <c r="N88" s="27">
        <f>SUM(H88:M88)</f>
        <v>19.57339752</v>
      </c>
      <c r="O88" s="28">
        <f>IF(O3&gt;0,N88/O3/12,0)</f>
        <v>9.0567265963353693E-3</v>
      </c>
    </row>
    <row r="89" spans="2:15" ht="41.4" x14ac:dyDescent="0.3">
      <c r="B89" s="21">
        <v>44</v>
      </c>
      <c r="C89" s="22" t="s">
        <v>225</v>
      </c>
      <c r="D89" s="23" t="s">
        <v>226</v>
      </c>
      <c r="E89" s="23" t="s">
        <v>227</v>
      </c>
      <c r="F89" s="24">
        <v>0.01</v>
      </c>
      <c r="G89" s="25">
        <v>2</v>
      </c>
      <c r="H89" s="26">
        <f>F89 * G89 * 611.783109</f>
        <v>12.23566218</v>
      </c>
      <c r="I89" s="26">
        <f>F89 * G89 * 45.83252</f>
        <v>0.91665040000000009</v>
      </c>
      <c r="J89" s="26">
        <f>F89 * G89 * 0</f>
        <v>0</v>
      </c>
      <c r="K89" s="26">
        <f>F89 * G89 * 582.539876999999</f>
        <v>11.650797539999981</v>
      </c>
      <c r="L89" s="26">
        <f>F89 * G89 * 143.745029999999</f>
        <v>2.8749005999999797</v>
      </c>
      <c r="M89" s="26">
        <f>F89 * G89 * 122.356622</f>
        <v>2.4471324400000003</v>
      </c>
      <c r="N89" s="27">
        <f>SUM(H89:M89)</f>
        <v>30.125143159999961</v>
      </c>
      <c r="O89" s="28">
        <f>IF(O3&gt;0,N89/O3/12,0)</f>
        <v>1.3939081602813234E-2</v>
      </c>
    </row>
    <row r="90" spans="2:15" s="15" customFormat="1" ht="14.4" x14ac:dyDescent="0.3">
      <c r="B90" s="16"/>
      <c r="C90" s="17" t="s">
        <v>228</v>
      </c>
      <c r="D90" s="33" t="s">
        <v>229</v>
      </c>
      <c r="E90" s="33"/>
      <c r="F90" s="33"/>
      <c r="G90" s="33"/>
      <c r="H90" s="33"/>
      <c r="I90" s="33"/>
      <c r="J90" s="33"/>
      <c r="K90" s="33"/>
      <c r="L90" s="33"/>
      <c r="M90" s="33"/>
      <c r="N90" s="33"/>
      <c r="O90" s="33"/>
    </row>
    <row r="91" spans="2:15" s="18" customFormat="1" ht="13.8" x14ac:dyDescent="0.3">
      <c r="B91" s="19"/>
      <c r="C91" s="20" t="s">
        <v>230</v>
      </c>
      <c r="D91" s="32" t="s">
        <v>231</v>
      </c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</row>
    <row r="92" spans="2:15" s="18" customFormat="1" ht="13.8" x14ac:dyDescent="0.3">
      <c r="B92" s="19"/>
      <c r="C92" s="20" t="s">
        <v>232</v>
      </c>
      <c r="D92" s="35" t="s">
        <v>233</v>
      </c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</row>
    <row r="93" spans="2:15" ht="27.6" x14ac:dyDescent="0.3">
      <c r="B93" s="21">
        <v>45</v>
      </c>
      <c r="C93" s="22" t="s">
        <v>234</v>
      </c>
      <c r="D93" s="23" t="s">
        <v>235</v>
      </c>
      <c r="E93" s="23" t="s">
        <v>236</v>
      </c>
      <c r="F93" s="24">
        <v>1E-3</v>
      </c>
      <c r="G93" s="25">
        <v>2</v>
      </c>
      <c r="H93" s="26">
        <f>F93 * G93 * 230818.65948</f>
        <v>461.63731896000002</v>
      </c>
      <c r="I93" s="26">
        <f>F93 * G93 * 1115.955216</f>
        <v>2.2319104320000003</v>
      </c>
      <c r="J93" s="26">
        <f>F93 * G93 * 0</f>
        <v>0</v>
      </c>
      <c r="K93" s="26">
        <f>F93 * G93 * 219785.527557</f>
        <v>439.57105511399999</v>
      </c>
      <c r="L93" s="26">
        <f>F93 * G93 * 52526.748723</f>
        <v>105.05349744599999</v>
      </c>
      <c r="M93" s="26">
        <f>F93 * G93 * 46163.731896</f>
        <v>92.327463792000003</v>
      </c>
      <c r="N93" s="27">
        <f>SUM(H93:M93)</f>
        <v>1100.821245744</v>
      </c>
      <c r="O93" s="28">
        <f>IF(O3&gt;0,N93/O3/12,0)</f>
        <v>0.50935648979455861</v>
      </c>
    </row>
    <row r="94" spans="2:15" x14ac:dyDescent="0.3">
      <c r="B94" s="21">
        <v>46</v>
      </c>
      <c r="C94" s="22" t="s">
        <v>237</v>
      </c>
      <c r="D94" s="23" t="s">
        <v>238</v>
      </c>
      <c r="E94" s="23" t="s">
        <v>239</v>
      </c>
      <c r="F94" s="24">
        <v>1E-3</v>
      </c>
      <c r="G94" s="25">
        <v>123.5</v>
      </c>
      <c r="H94" s="26">
        <f>F94 * G94 * 25389.32052</f>
        <v>3135.5810842200003</v>
      </c>
      <c r="I94" s="26">
        <f>F94 * G94 * 124.5312</f>
        <v>15.3796032</v>
      </c>
      <c r="J94" s="26">
        <f>F94 * G94 * 0</f>
        <v>0</v>
      </c>
      <c r="K94" s="26">
        <f>F94 * G94 * 24175.710999</f>
        <v>2985.7003083764998</v>
      </c>
      <c r="L94" s="26">
        <f>F94 * G94 * 5777.96353</f>
        <v>713.57849595499999</v>
      </c>
      <c r="M94" s="26">
        <f>F94 * G94 * 5077.864104</f>
        <v>627.11621684400006</v>
      </c>
      <c r="N94" s="27">
        <f>SUM(H94:M94)</f>
        <v>7477.3557085954999</v>
      </c>
      <c r="O94" s="28">
        <f>IF(O3&gt;0,N94/O3/12,0)</f>
        <v>3.459816633627383</v>
      </c>
    </row>
    <row r="95" spans="2:15" x14ac:dyDescent="0.3">
      <c r="B95" s="21">
        <v>47</v>
      </c>
      <c r="C95" s="22" t="s">
        <v>240</v>
      </c>
      <c r="D95" s="23" t="s">
        <v>241</v>
      </c>
      <c r="E95" s="23" t="s">
        <v>242</v>
      </c>
      <c r="F95" s="24">
        <v>0.1</v>
      </c>
      <c r="G95" s="25">
        <v>2</v>
      </c>
      <c r="H95" s="26">
        <f>F95 * G95 * 210.367525</f>
        <v>42.073505000000004</v>
      </c>
      <c r="I95" s="26">
        <f>F95 * G95 * 31.1328</f>
        <v>6.2265600000000001</v>
      </c>
      <c r="J95" s="26">
        <f>F95 * G95 * 25.994925</f>
        <v>5.1989850000000004</v>
      </c>
      <c r="K95" s="26">
        <f>F95 * G95 * 200.311957</f>
        <v>40.062391400000003</v>
      </c>
      <c r="L95" s="26">
        <f>F95 * G95 * 53.792416</f>
        <v>10.758483200000001</v>
      </c>
      <c r="M95" s="26">
        <f>F95 * G95 * 42.073505</f>
        <v>8.4147009999999991</v>
      </c>
      <c r="N95" s="27">
        <f>SUM(H95:M95)</f>
        <v>112.7346256</v>
      </c>
      <c r="O95" s="28">
        <f>IF(O3&gt;0,N95/O3/12,0)</f>
        <v>5.2162976864704801E-2</v>
      </c>
    </row>
    <row r="96" spans="2:15" s="18" customFormat="1" ht="13.8" x14ac:dyDescent="0.3">
      <c r="B96" s="19"/>
      <c r="C96" s="20" t="s">
        <v>243</v>
      </c>
      <c r="D96" s="32" t="s">
        <v>244</v>
      </c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</row>
    <row r="97" spans="2:15" ht="41.4" x14ac:dyDescent="0.3">
      <c r="B97" s="21">
        <v>48</v>
      </c>
      <c r="C97" s="22" t="s">
        <v>245</v>
      </c>
      <c r="D97" s="23" t="s">
        <v>246</v>
      </c>
      <c r="E97" s="23" t="s">
        <v>247</v>
      </c>
      <c r="F97" s="24">
        <v>5.0000000000000001E-4</v>
      </c>
      <c r="G97" s="25">
        <v>5</v>
      </c>
      <c r="H97" s="26">
        <f>F97 * G97 * 8244.15948</f>
        <v>20.610398700000001</v>
      </c>
      <c r="I97" s="26">
        <f>F97 * G97 * 0</f>
        <v>0</v>
      </c>
      <c r="J97" s="26">
        <f>F97 * G97 * 0</f>
        <v>0</v>
      </c>
      <c r="K97" s="26">
        <f>F97 * G97 * 7850.088657</f>
        <v>19.625221642500001</v>
      </c>
      <c r="L97" s="26">
        <f>F97 * G97 * 1871.894943</f>
        <v>4.6797373575000005</v>
      </c>
      <c r="M97" s="26">
        <f>F97 * G97 * 1648.831896</f>
        <v>4.1220797400000002</v>
      </c>
      <c r="N97" s="27">
        <f>SUM(H97:M97)</f>
        <v>49.037437440000005</v>
      </c>
      <c r="O97" s="28">
        <f>IF(O3&gt;0,N97/O3/12,0)</f>
        <v>2.2689911826762912E-2</v>
      </c>
    </row>
    <row r="98" spans="2:15" s="18" customFormat="1" ht="13.8" x14ac:dyDescent="0.3">
      <c r="B98" s="19"/>
      <c r="C98" s="20" t="s">
        <v>248</v>
      </c>
      <c r="D98" s="32" t="s">
        <v>249</v>
      </c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</row>
    <row r="99" spans="2:15" ht="41.4" x14ac:dyDescent="0.3">
      <c r="B99" s="21">
        <v>49</v>
      </c>
      <c r="C99" s="22" t="s">
        <v>250</v>
      </c>
      <c r="D99" s="23" t="s">
        <v>251</v>
      </c>
      <c r="E99" s="23" t="s">
        <v>247</v>
      </c>
      <c r="F99" s="24">
        <v>5.0000000000000001E-4</v>
      </c>
      <c r="G99" s="25">
        <v>10</v>
      </c>
      <c r="H99" s="26">
        <f>F99 * G99 * 28028.55948</f>
        <v>140.14279740000001</v>
      </c>
      <c r="I99" s="26">
        <f>F99 * G99 * 0</f>
        <v>0</v>
      </c>
      <c r="J99" s="26">
        <f>F99 * G99 * 0</f>
        <v>0</v>
      </c>
      <c r="K99" s="26">
        <f>F99 * G99 * 26688.7943369999</f>
        <v>133.44397168500001</v>
      </c>
      <c r="L99" s="26">
        <f>F99 * G99 * 6364.083433</f>
        <v>31.820417164999999</v>
      </c>
      <c r="M99" s="26">
        <f>F99 * G99 * 5605.711896</f>
        <v>28.028559479999998</v>
      </c>
      <c r="N99" s="27">
        <f>SUM(H99:M99)</f>
        <v>333.43574573000001</v>
      </c>
      <c r="O99" s="28">
        <f>IF(O3&gt;0,N99/O3/12,0)</f>
        <v>0.15428268819637239</v>
      </c>
    </row>
    <row r="100" spans="2:15" s="18" customFormat="1" ht="13.8" x14ac:dyDescent="0.3">
      <c r="B100" s="19"/>
      <c r="C100" s="20" t="s">
        <v>252</v>
      </c>
      <c r="D100" s="32" t="s">
        <v>253</v>
      </c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</row>
    <row r="101" spans="2:15" ht="27.6" x14ac:dyDescent="0.3">
      <c r="B101" s="21">
        <v>50</v>
      </c>
      <c r="C101" s="22" t="s">
        <v>254</v>
      </c>
      <c r="D101" s="23" t="s">
        <v>255</v>
      </c>
      <c r="E101" s="23" t="s">
        <v>256</v>
      </c>
      <c r="F101" s="24">
        <v>4.08</v>
      </c>
      <c r="G101" s="25">
        <v>1</v>
      </c>
      <c r="H101" s="26">
        <f>F101 * G101 * 771.5916</f>
        <v>3148.0937279999998</v>
      </c>
      <c r="I101" s="26">
        <f>F101 * G101 * 0</f>
        <v>0</v>
      </c>
      <c r="J101" s="26">
        <f>F101 * G101 * 0</f>
        <v>0</v>
      </c>
      <c r="K101" s="26">
        <f>F101 * G101 * 734.709522</f>
        <v>2997.6148497600002</v>
      </c>
      <c r="L101" s="26">
        <f>F101 * G101 * 175.195351</f>
        <v>714.79703208000001</v>
      </c>
      <c r="M101" s="26">
        <f>F101 * G101 * 154.31832</f>
        <v>629.61874560000001</v>
      </c>
      <c r="N101" s="27">
        <f>SUM(H101:M101)</f>
        <v>7490.1243554399998</v>
      </c>
      <c r="O101" s="28">
        <f>IF(O3&gt;0,N101/O3/12,0)</f>
        <v>3.46572476191005</v>
      </c>
    </row>
    <row r="102" spans="2:15" ht="27.6" x14ac:dyDescent="0.3">
      <c r="B102" s="21">
        <v>51</v>
      </c>
      <c r="C102" s="22" t="s">
        <v>257</v>
      </c>
      <c r="D102" s="23" t="s">
        <v>258</v>
      </c>
      <c r="E102" s="23" t="s">
        <v>259</v>
      </c>
      <c r="F102" s="24">
        <v>0.1</v>
      </c>
      <c r="G102" s="25">
        <v>123.5</v>
      </c>
      <c r="H102" s="26">
        <f>F102 * G102 * 273.02472</f>
        <v>3371.8552920000002</v>
      </c>
      <c r="I102" s="26">
        <f>F102 * G102 * 0</f>
        <v>0</v>
      </c>
      <c r="J102" s="26">
        <f>F102 * G102 * 0</f>
        <v>0</v>
      </c>
      <c r="K102" s="26">
        <f>F102 * G102 * 259.974138</f>
        <v>3210.6806043000001</v>
      </c>
      <c r="L102" s="26">
        <f>F102 * G102 * 61.9922009999999</f>
        <v>765.60368234999885</v>
      </c>
      <c r="M102" s="26">
        <f>F102 * G102 * 54.604944</f>
        <v>674.37105840000015</v>
      </c>
      <c r="N102" s="27">
        <f>SUM(H102:M102)</f>
        <v>8022.5106370499989</v>
      </c>
      <c r="O102" s="28">
        <f>IF(O3&gt;0,N102/O3/12,0)</f>
        <v>3.7120630376873955</v>
      </c>
    </row>
    <row r="103" spans="2:15" ht="27.6" x14ac:dyDescent="0.3">
      <c r="B103" s="21">
        <v>52</v>
      </c>
      <c r="C103" s="22" t="s">
        <v>260</v>
      </c>
      <c r="D103" s="23" t="s">
        <v>261</v>
      </c>
      <c r="E103" s="23" t="s">
        <v>259</v>
      </c>
      <c r="F103" s="24">
        <v>0.1</v>
      </c>
      <c r="G103" s="25">
        <v>123.5</v>
      </c>
      <c r="H103" s="26">
        <f>F103 * G103 * 50.45022</f>
        <v>623.06021700000008</v>
      </c>
      <c r="I103" s="26">
        <f>F103 * G103 * 0.243874</f>
        <v>3.0118439000000006</v>
      </c>
      <c r="J103" s="26">
        <f>F103 * G103 * 0</f>
        <v>0</v>
      </c>
      <c r="K103" s="26">
        <f>F103 * G103 * 48.0386989999999</f>
        <v>593.27793264999889</v>
      </c>
      <c r="L103" s="26">
        <f>F103 * G103 * 11.480809</f>
        <v>141.78799115000004</v>
      </c>
      <c r="M103" s="26">
        <f>F103 * G103 * 10.090044</f>
        <v>124.61204340000002</v>
      </c>
      <c r="N103" s="27">
        <f>SUM(H103:M103)</f>
        <v>1485.7500280999989</v>
      </c>
      <c r="O103" s="28">
        <f>IF(O3&gt;0,N103/O3/12,0)</f>
        <v>0.68746531005922584</v>
      </c>
    </row>
    <row r="104" spans="2:15" s="15" customFormat="1" ht="14.4" x14ac:dyDescent="0.3">
      <c r="B104" s="16"/>
      <c r="C104" s="17" t="s">
        <v>262</v>
      </c>
      <c r="D104" s="33" t="s">
        <v>263</v>
      </c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</row>
    <row r="105" spans="2:15" s="18" customFormat="1" ht="13.8" x14ac:dyDescent="0.3">
      <c r="B105" s="19"/>
      <c r="C105" s="20" t="s">
        <v>264</v>
      </c>
      <c r="D105" s="32" t="s">
        <v>265</v>
      </c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</row>
    <row r="106" spans="2:15" ht="41.4" x14ac:dyDescent="0.3">
      <c r="B106" s="21">
        <v>53</v>
      </c>
      <c r="C106" s="22" t="s">
        <v>266</v>
      </c>
      <c r="D106" s="23" t="s">
        <v>267</v>
      </c>
      <c r="E106" s="23" t="s">
        <v>268</v>
      </c>
      <c r="F106" s="24">
        <v>1.2E-2</v>
      </c>
      <c r="G106" s="25">
        <v>0.5</v>
      </c>
      <c r="H106" s="26">
        <f>F106 * G106 * 1314.00071</f>
        <v>7.8840042600000002</v>
      </c>
      <c r="I106" s="26">
        <f>F106 * G106 * 59.5584</f>
        <v>0.35735040000000001</v>
      </c>
      <c r="J106" s="26">
        <f>F106 * G106 * 0</f>
        <v>0</v>
      </c>
      <c r="K106" s="26">
        <f>F106 * G106 * 1251.191477</f>
        <v>7.5071488620000002</v>
      </c>
      <c r="L106" s="26">
        <f>F106 * G106 * 304.636602</f>
        <v>1.8278196119999999</v>
      </c>
      <c r="M106" s="26">
        <f>F106 * G106 * 262.800142</f>
        <v>1.5768008520000001</v>
      </c>
      <c r="N106" s="27">
        <f>SUM(H106:M106)</f>
        <v>19.153123986000001</v>
      </c>
      <c r="O106" s="28">
        <f>IF(O3&gt;0,N106/O3/12,0)</f>
        <v>8.8622635508051086E-3</v>
      </c>
    </row>
    <row r="107" spans="2:15" ht="41.4" x14ac:dyDescent="0.3">
      <c r="B107" s="21">
        <v>54</v>
      </c>
      <c r="C107" s="22" t="s">
        <v>269</v>
      </c>
      <c r="D107" s="23" t="s">
        <v>270</v>
      </c>
      <c r="E107" s="23" t="s">
        <v>268</v>
      </c>
      <c r="F107" s="24">
        <v>1.2E-2</v>
      </c>
      <c r="G107" s="25">
        <v>0.5</v>
      </c>
      <c r="H107" s="26">
        <f>F107 * G107 * 936.225506</f>
        <v>5.6173530359999999</v>
      </c>
      <c r="I107" s="26">
        <f>F107 * G107 * 564</f>
        <v>3.3839999999999999</v>
      </c>
      <c r="J107" s="26">
        <f>F107 * G107 * 0</f>
        <v>0</v>
      </c>
      <c r="K107" s="26">
        <f>F107 * G107 * 891.473927</f>
        <v>5.3488435619999999</v>
      </c>
      <c r="L107" s="26">
        <f>F107 * G107 * 272.078649</f>
        <v>1.632471894</v>
      </c>
      <c r="M107" s="26">
        <f>F107 * G107 * 187.245101</f>
        <v>1.1234706060000001</v>
      </c>
      <c r="N107" s="27">
        <f>SUM(H107:M107)</f>
        <v>17.106139098</v>
      </c>
      <c r="O107" s="28">
        <f>IF(O3&gt;0,N107/O3/12,0)</f>
        <v>7.9151115574680724E-3</v>
      </c>
    </row>
    <row r="108" spans="2:15" s="29" customFormat="1" ht="19.95" customHeight="1" x14ac:dyDescent="0.3">
      <c r="B108" s="34" t="s">
        <v>271</v>
      </c>
      <c r="C108" s="34"/>
      <c r="D108" s="34"/>
      <c r="E108" s="34"/>
      <c r="F108" s="34"/>
      <c r="G108" s="34"/>
      <c r="H108" s="30">
        <f t="shared" ref="H108:O108" si="0">SUM(H4:H107)</f>
        <v>29525.175860236399</v>
      </c>
      <c r="I108" s="30">
        <f t="shared" si="0"/>
        <v>14043.184535212797</v>
      </c>
      <c r="J108" s="30">
        <f t="shared" si="0"/>
        <v>5.1989850000000004</v>
      </c>
      <c r="K108" s="30">
        <f t="shared" si="0"/>
        <v>28113.872447846556</v>
      </c>
      <c r="L108" s="30">
        <f t="shared" si="0"/>
        <v>8186.0052672116899</v>
      </c>
      <c r="M108" s="30">
        <f t="shared" si="0"/>
        <v>5905.0351628636008</v>
      </c>
      <c r="N108" s="30">
        <f t="shared" si="0"/>
        <v>85778.472258371068</v>
      </c>
      <c r="O108" s="31">
        <f t="shared" si="0"/>
        <v>39.690205560971243</v>
      </c>
    </row>
  </sheetData>
  <mergeCells count="54">
    <mergeCell ref="B2:L3"/>
    <mergeCell ref="M2:N2"/>
    <mergeCell ref="M3:N3"/>
    <mergeCell ref="D4:O4"/>
    <mergeCell ref="D5:O5"/>
    <mergeCell ref="D7:O7"/>
    <mergeCell ref="D8:O8"/>
    <mergeCell ref="D9:O9"/>
    <mergeCell ref="D10:O10"/>
    <mergeCell ref="D13:O13"/>
    <mergeCell ref="D15:O15"/>
    <mergeCell ref="D16:O16"/>
    <mergeCell ref="D21:O21"/>
    <mergeCell ref="D27:O27"/>
    <mergeCell ref="D28:O28"/>
    <mergeCell ref="D31:O31"/>
    <mergeCell ref="D32:O32"/>
    <mergeCell ref="D33:O33"/>
    <mergeCell ref="D35:O35"/>
    <mergeCell ref="D36:O36"/>
    <mergeCell ref="D38:O38"/>
    <mergeCell ref="D39:O39"/>
    <mergeCell ref="D42:O42"/>
    <mergeCell ref="D43:O43"/>
    <mergeCell ref="D45:O45"/>
    <mergeCell ref="D47:O47"/>
    <mergeCell ref="D50:O50"/>
    <mergeCell ref="D51:O51"/>
    <mergeCell ref="D57:O57"/>
    <mergeCell ref="D59:O59"/>
    <mergeCell ref="D61:O61"/>
    <mergeCell ref="D62:O62"/>
    <mergeCell ref="D65:O65"/>
    <mergeCell ref="D67:O67"/>
    <mergeCell ref="D68:O68"/>
    <mergeCell ref="D71:O71"/>
    <mergeCell ref="D73:O73"/>
    <mergeCell ref="D74:O74"/>
    <mergeCell ref="D75:O75"/>
    <mergeCell ref="D76:O76"/>
    <mergeCell ref="D78:O78"/>
    <mergeCell ref="D80:O80"/>
    <mergeCell ref="D83:O83"/>
    <mergeCell ref="D84:O84"/>
    <mergeCell ref="D86:O86"/>
    <mergeCell ref="D100:O100"/>
    <mergeCell ref="D104:O104"/>
    <mergeCell ref="D105:O105"/>
    <mergeCell ref="B108:G108"/>
    <mergeCell ref="D90:O90"/>
    <mergeCell ref="D91:O91"/>
    <mergeCell ref="D92:O92"/>
    <mergeCell ref="D96:O96"/>
    <mergeCell ref="D98:O98"/>
  </mergeCells>
  <pageMargins left="0.7" right="0.7" top="0.75" bottom="0.75" header="0.3" footer="0.3"/>
  <pageSetup paperSize="9" fitToHeight="0" orientation="landscape" horizontalDpi="4294967295" verticalDpi="4294967295"/>
  <headerFooter>
    <oddHeader>&amp;C&amp;KCCCCCC&amp;"Arial"1.13 МКД коридорного типа с эл.плитами, уб.МОП и придомовой терр. Попова,32 2026 год</oddHeader>
    <oddFooter>Стр.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Смета</vt:lpstr>
      <vt:lpstr>Смета!Заголовки_для_печати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1.13 МКД коридорного типа с эл.плитами, уб.МОП и придомовой терр. Попова,32 2026 год</dc:title>
  <dc:subject/>
  <dc:creator/>
  <cp:keywords/>
  <dc:description/>
  <cp:lastModifiedBy/>
  <cp:lastPrinted>2025-12-09T13:13:19Z</cp:lastPrinted>
  <dcterms:created xsi:type="dcterms:W3CDTF">2025-12-09T13:13:19Z</dcterms:created>
  <dcterms:modified xsi:type="dcterms:W3CDTF">2025-12-09T13:14:34Z</dcterms:modified>
  <cp:category/>
</cp:coreProperties>
</file>