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266" i="1" l="1"/>
  <c r="L266" i="1"/>
  <c r="K266" i="1"/>
  <c r="J266" i="1"/>
  <c r="I266" i="1"/>
  <c r="H266" i="1"/>
  <c r="M263" i="1"/>
  <c r="L263" i="1"/>
  <c r="K263" i="1"/>
  <c r="J263" i="1"/>
  <c r="I263" i="1"/>
  <c r="H263" i="1"/>
  <c r="N263" i="1" s="1"/>
  <c r="O263" i="1" s="1"/>
  <c r="M262" i="1"/>
  <c r="L262" i="1"/>
  <c r="K262" i="1"/>
  <c r="J262" i="1"/>
  <c r="I262" i="1"/>
  <c r="H262" i="1"/>
  <c r="M259" i="1"/>
  <c r="L259" i="1"/>
  <c r="K259" i="1"/>
  <c r="J259" i="1"/>
  <c r="I259" i="1"/>
  <c r="H259" i="1"/>
  <c r="N259" i="1" s="1"/>
  <c r="O259" i="1" s="1"/>
  <c r="M258" i="1"/>
  <c r="L258" i="1"/>
  <c r="K258" i="1"/>
  <c r="J258" i="1"/>
  <c r="I258" i="1"/>
  <c r="H258" i="1"/>
  <c r="M257" i="1"/>
  <c r="L257" i="1"/>
  <c r="K257" i="1"/>
  <c r="J257" i="1"/>
  <c r="I257" i="1"/>
  <c r="H257" i="1"/>
  <c r="N257" i="1" s="1"/>
  <c r="O257" i="1" s="1"/>
  <c r="M256" i="1"/>
  <c r="L256" i="1"/>
  <c r="K256" i="1"/>
  <c r="J256" i="1"/>
  <c r="I256" i="1"/>
  <c r="H256" i="1"/>
  <c r="M255" i="1"/>
  <c r="L255" i="1"/>
  <c r="K255" i="1"/>
  <c r="J255" i="1"/>
  <c r="I255" i="1"/>
  <c r="H255" i="1"/>
  <c r="N255" i="1" s="1"/>
  <c r="O255" i="1" s="1"/>
  <c r="M253" i="1"/>
  <c r="L253" i="1"/>
  <c r="K253" i="1"/>
  <c r="J253" i="1"/>
  <c r="I253" i="1"/>
  <c r="H253" i="1"/>
  <c r="M252" i="1"/>
  <c r="L252" i="1"/>
  <c r="K252" i="1"/>
  <c r="J252" i="1"/>
  <c r="I252" i="1"/>
  <c r="H252" i="1"/>
  <c r="N252" i="1" s="1"/>
  <c r="O252" i="1" s="1"/>
  <c r="M251" i="1"/>
  <c r="L251" i="1"/>
  <c r="K251" i="1"/>
  <c r="J251" i="1"/>
  <c r="I251" i="1"/>
  <c r="H251" i="1"/>
  <c r="M249" i="1"/>
  <c r="L249" i="1"/>
  <c r="K249" i="1"/>
  <c r="J249" i="1"/>
  <c r="I249" i="1"/>
  <c r="H249" i="1"/>
  <c r="N249" i="1" s="1"/>
  <c r="O249" i="1" s="1"/>
  <c r="M247" i="1"/>
  <c r="L247" i="1"/>
  <c r="K247" i="1"/>
  <c r="J247" i="1"/>
  <c r="I247" i="1"/>
  <c r="H247" i="1"/>
  <c r="M245" i="1"/>
  <c r="L245" i="1"/>
  <c r="K245" i="1"/>
  <c r="J245" i="1"/>
  <c r="I245" i="1"/>
  <c r="H245" i="1"/>
  <c r="N245" i="1" s="1"/>
  <c r="O245" i="1" s="1"/>
  <c r="M243" i="1"/>
  <c r="L243" i="1"/>
  <c r="K243" i="1"/>
  <c r="J243" i="1"/>
  <c r="I243" i="1"/>
  <c r="H243" i="1"/>
  <c r="M241" i="1"/>
  <c r="L241" i="1"/>
  <c r="K241" i="1"/>
  <c r="J241" i="1"/>
  <c r="I241" i="1"/>
  <c r="H241" i="1"/>
  <c r="N241" i="1" s="1"/>
  <c r="O241" i="1" s="1"/>
  <c r="M239" i="1"/>
  <c r="L239" i="1"/>
  <c r="K239" i="1"/>
  <c r="J239" i="1"/>
  <c r="I239" i="1"/>
  <c r="H239" i="1"/>
  <c r="M238" i="1"/>
  <c r="L238" i="1"/>
  <c r="K238" i="1"/>
  <c r="J238" i="1"/>
  <c r="I238" i="1"/>
  <c r="H238" i="1"/>
  <c r="N238" i="1" s="1"/>
  <c r="O238" i="1" s="1"/>
  <c r="M237" i="1"/>
  <c r="L237" i="1"/>
  <c r="K237" i="1"/>
  <c r="J237" i="1"/>
  <c r="I237" i="1"/>
  <c r="H237" i="1"/>
  <c r="M234" i="1"/>
  <c r="L234" i="1"/>
  <c r="K234" i="1"/>
  <c r="J234" i="1"/>
  <c r="I234" i="1"/>
  <c r="H234" i="1"/>
  <c r="N234" i="1" s="1"/>
  <c r="O234" i="1" s="1"/>
  <c r="M231" i="1"/>
  <c r="L231" i="1"/>
  <c r="K231" i="1"/>
  <c r="J231" i="1"/>
  <c r="I231" i="1"/>
  <c r="H231" i="1"/>
  <c r="M230" i="1"/>
  <c r="L230" i="1"/>
  <c r="K230" i="1"/>
  <c r="J230" i="1"/>
  <c r="I230" i="1"/>
  <c r="H230" i="1"/>
  <c r="N230" i="1" s="1"/>
  <c r="O230" i="1" s="1"/>
  <c r="M229" i="1"/>
  <c r="L229" i="1"/>
  <c r="K229" i="1"/>
  <c r="J229" i="1"/>
  <c r="I229" i="1"/>
  <c r="H229" i="1"/>
  <c r="M227" i="1"/>
  <c r="L227" i="1"/>
  <c r="K227" i="1"/>
  <c r="J227" i="1"/>
  <c r="I227" i="1"/>
  <c r="H227" i="1"/>
  <c r="N227" i="1" s="1"/>
  <c r="O227" i="1" s="1"/>
  <c r="M224" i="1"/>
  <c r="L224" i="1"/>
  <c r="K224" i="1"/>
  <c r="J224" i="1"/>
  <c r="I224" i="1"/>
  <c r="H224" i="1"/>
  <c r="M223" i="1"/>
  <c r="L223" i="1"/>
  <c r="K223" i="1"/>
  <c r="J223" i="1"/>
  <c r="I223" i="1"/>
  <c r="H223" i="1"/>
  <c r="N223" i="1" s="1"/>
  <c r="O223" i="1" s="1"/>
  <c r="M221" i="1"/>
  <c r="L221" i="1"/>
  <c r="K221" i="1"/>
  <c r="J221" i="1"/>
  <c r="I221" i="1"/>
  <c r="H221" i="1"/>
  <c r="M220" i="1"/>
  <c r="L220" i="1"/>
  <c r="K220" i="1"/>
  <c r="J220" i="1"/>
  <c r="I220" i="1"/>
  <c r="H220" i="1"/>
  <c r="N220" i="1" s="1"/>
  <c r="O220" i="1" s="1"/>
  <c r="M218" i="1"/>
  <c r="L218" i="1"/>
  <c r="K218" i="1"/>
  <c r="J218" i="1"/>
  <c r="I218" i="1"/>
  <c r="H218" i="1"/>
  <c r="M217" i="1"/>
  <c r="L217" i="1"/>
  <c r="K217" i="1"/>
  <c r="J217" i="1"/>
  <c r="I217" i="1"/>
  <c r="H217" i="1"/>
  <c r="N217" i="1" s="1"/>
  <c r="O217" i="1" s="1"/>
  <c r="M216" i="1"/>
  <c r="L216" i="1"/>
  <c r="K216" i="1"/>
  <c r="J216" i="1"/>
  <c r="I216" i="1"/>
  <c r="H216" i="1"/>
  <c r="M214" i="1"/>
  <c r="L214" i="1"/>
  <c r="K214" i="1"/>
  <c r="J214" i="1"/>
  <c r="I214" i="1"/>
  <c r="H214" i="1"/>
  <c r="N214" i="1" s="1"/>
  <c r="O214" i="1" s="1"/>
  <c r="M213" i="1"/>
  <c r="L213" i="1"/>
  <c r="K213" i="1"/>
  <c r="J213" i="1"/>
  <c r="I213" i="1"/>
  <c r="H213" i="1"/>
  <c r="M208" i="1"/>
  <c r="L208" i="1"/>
  <c r="K208" i="1"/>
  <c r="J208" i="1"/>
  <c r="I208" i="1"/>
  <c r="H208" i="1"/>
  <c r="N208" i="1" s="1"/>
  <c r="O208" i="1" s="1"/>
  <c r="M207" i="1"/>
  <c r="L207" i="1"/>
  <c r="K207" i="1"/>
  <c r="J207" i="1"/>
  <c r="I207" i="1"/>
  <c r="H207" i="1"/>
  <c r="M204" i="1"/>
  <c r="L204" i="1"/>
  <c r="K204" i="1"/>
  <c r="J204" i="1"/>
  <c r="I204" i="1"/>
  <c r="H204" i="1"/>
  <c r="N204" i="1" s="1"/>
  <c r="O204" i="1" s="1"/>
  <c r="M203" i="1"/>
  <c r="L203" i="1"/>
  <c r="K203" i="1"/>
  <c r="J203" i="1"/>
  <c r="I203" i="1"/>
  <c r="H203" i="1"/>
  <c r="M202" i="1"/>
  <c r="L202" i="1"/>
  <c r="K202" i="1"/>
  <c r="J202" i="1"/>
  <c r="I202" i="1"/>
  <c r="H202" i="1"/>
  <c r="N202" i="1" s="1"/>
  <c r="O202" i="1" s="1"/>
  <c r="M201" i="1"/>
  <c r="L201" i="1"/>
  <c r="K201" i="1"/>
  <c r="J201" i="1"/>
  <c r="I201" i="1"/>
  <c r="H201" i="1"/>
  <c r="M200" i="1"/>
  <c r="L200" i="1"/>
  <c r="K200" i="1"/>
  <c r="J200" i="1"/>
  <c r="I200" i="1"/>
  <c r="H200" i="1"/>
  <c r="N200" i="1" s="1"/>
  <c r="O200" i="1" s="1"/>
  <c r="M199" i="1"/>
  <c r="L199" i="1"/>
  <c r="K199" i="1"/>
  <c r="J199" i="1"/>
  <c r="I199" i="1"/>
  <c r="H199" i="1"/>
  <c r="M198" i="1"/>
  <c r="L198" i="1"/>
  <c r="K198" i="1"/>
  <c r="J198" i="1"/>
  <c r="I198" i="1"/>
  <c r="H198" i="1"/>
  <c r="N198" i="1" s="1"/>
  <c r="O198" i="1" s="1"/>
  <c r="M197" i="1"/>
  <c r="L197" i="1"/>
  <c r="K197" i="1"/>
  <c r="J197" i="1"/>
  <c r="I197" i="1"/>
  <c r="H197" i="1"/>
  <c r="M196" i="1"/>
  <c r="L196" i="1"/>
  <c r="K196" i="1"/>
  <c r="J196" i="1"/>
  <c r="I196" i="1"/>
  <c r="H196" i="1"/>
  <c r="N196" i="1" s="1"/>
  <c r="O196" i="1" s="1"/>
  <c r="M195" i="1"/>
  <c r="L195" i="1"/>
  <c r="K195" i="1"/>
  <c r="J195" i="1"/>
  <c r="I195" i="1"/>
  <c r="H195" i="1"/>
  <c r="M194" i="1"/>
  <c r="L194" i="1"/>
  <c r="K194" i="1"/>
  <c r="J194" i="1"/>
  <c r="I194" i="1"/>
  <c r="H194" i="1"/>
  <c r="N194" i="1" s="1"/>
  <c r="O194" i="1" s="1"/>
  <c r="M193" i="1"/>
  <c r="L193" i="1"/>
  <c r="K193" i="1"/>
  <c r="J193" i="1"/>
  <c r="I193" i="1"/>
  <c r="H193" i="1"/>
  <c r="M192" i="1"/>
  <c r="L192" i="1"/>
  <c r="K192" i="1"/>
  <c r="J192" i="1"/>
  <c r="I192" i="1"/>
  <c r="H192" i="1"/>
  <c r="N192" i="1" s="1"/>
  <c r="O192" i="1" s="1"/>
  <c r="M191" i="1"/>
  <c r="L191" i="1"/>
  <c r="K191" i="1"/>
  <c r="J191" i="1"/>
  <c r="I191" i="1"/>
  <c r="H191" i="1"/>
  <c r="M190" i="1"/>
  <c r="L190" i="1"/>
  <c r="K190" i="1"/>
  <c r="J190" i="1"/>
  <c r="I190" i="1"/>
  <c r="H190" i="1"/>
  <c r="N190" i="1" s="1"/>
  <c r="O190" i="1" s="1"/>
  <c r="M188" i="1"/>
  <c r="L188" i="1"/>
  <c r="K188" i="1"/>
  <c r="J188" i="1"/>
  <c r="I188" i="1"/>
  <c r="H188" i="1"/>
  <c r="M187" i="1"/>
  <c r="L187" i="1"/>
  <c r="K187" i="1"/>
  <c r="J187" i="1"/>
  <c r="I187" i="1"/>
  <c r="H187" i="1"/>
  <c r="N187" i="1" s="1"/>
  <c r="O187" i="1" s="1"/>
  <c r="M186" i="1"/>
  <c r="L186" i="1"/>
  <c r="K186" i="1"/>
  <c r="J186" i="1"/>
  <c r="I186" i="1"/>
  <c r="H186" i="1"/>
  <c r="M185" i="1"/>
  <c r="L185" i="1"/>
  <c r="K185" i="1"/>
  <c r="J185" i="1"/>
  <c r="I185" i="1"/>
  <c r="H185" i="1"/>
  <c r="N185" i="1" s="1"/>
  <c r="O185" i="1" s="1"/>
  <c r="M184" i="1"/>
  <c r="L184" i="1"/>
  <c r="K184" i="1"/>
  <c r="J184" i="1"/>
  <c r="I184" i="1"/>
  <c r="H184" i="1"/>
  <c r="M183" i="1"/>
  <c r="L183" i="1"/>
  <c r="K183" i="1"/>
  <c r="J183" i="1"/>
  <c r="I183" i="1"/>
  <c r="H183" i="1"/>
  <c r="N183" i="1" s="1"/>
  <c r="O183" i="1" s="1"/>
  <c r="M182" i="1"/>
  <c r="L182" i="1"/>
  <c r="K182" i="1"/>
  <c r="J182" i="1"/>
  <c r="I182" i="1"/>
  <c r="H182" i="1"/>
  <c r="M181" i="1"/>
  <c r="L181" i="1"/>
  <c r="K181" i="1"/>
  <c r="J181" i="1"/>
  <c r="I181" i="1"/>
  <c r="H181" i="1"/>
  <c r="N181" i="1" s="1"/>
  <c r="O181" i="1" s="1"/>
  <c r="M180" i="1"/>
  <c r="L180" i="1"/>
  <c r="K180" i="1"/>
  <c r="J180" i="1"/>
  <c r="I180" i="1"/>
  <c r="H180" i="1"/>
  <c r="M179" i="1"/>
  <c r="L179" i="1"/>
  <c r="K179" i="1"/>
  <c r="J179" i="1"/>
  <c r="I179" i="1"/>
  <c r="H179" i="1"/>
  <c r="N179" i="1" s="1"/>
  <c r="O179" i="1" s="1"/>
  <c r="M178" i="1"/>
  <c r="L178" i="1"/>
  <c r="K178" i="1"/>
  <c r="J178" i="1"/>
  <c r="I178" i="1"/>
  <c r="H178" i="1"/>
  <c r="M177" i="1"/>
  <c r="L177" i="1"/>
  <c r="K177" i="1"/>
  <c r="J177" i="1"/>
  <c r="I177" i="1"/>
  <c r="H177" i="1"/>
  <c r="N177" i="1" s="1"/>
  <c r="O177" i="1" s="1"/>
  <c r="M176" i="1"/>
  <c r="L176" i="1"/>
  <c r="K176" i="1"/>
  <c r="J176" i="1"/>
  <c r="I176" i="1"/>
  <c r="H176" i="1"/>
  <c r="M175" i="1"/>
  <c r="L175" i="1"/>
  <c r="K175" i="1"/>
  <c r="J175" i="1"/>
  <c r="I175" i="1"/>
  <c r="H175" i="1"/>
  <c r="N175" i="1" s="1"/>
  <c r="O175" i="1" s="1"/>
  <c r="M174" i="1"/>
  <c r="L174" i="1"/>
  <c r="K174" i="1"/>
  <c r="J174" i="1"/>
  <c r="I174" i="1"/>
  <c r="H174" i="1"/>
  <c r="M173" i="1"/>
  <c r="L173" i="1"/>
  <c r="K173" i="1"/>
  <c r="J173" i="1"/>
  <c r="I173" i="1"/>
  <c r="H173" i="1"/>
  <c r="N173" i="1" s="1"/>
  <c r="O173" i="1" s="1"/>
  <c r="M172" i="1"/>
  <c r="L172" i="1"/>
  <c r="K172" i="1"/>
  <c r="J172" i="1"/>
  <c r="I172" i="1"/>
  <c r="H172" i="1"/>
  <c r="M171" i="1"/>
  <c r="L171" i="1"/>
  <c r="K171" i="1"/>
  <c r="J171" i="1"/>
  <c r="I171" i="1"/>
  <c r="H171" i="1"/>
  <c r="N171" i="1" s="1"/>
  <c r="O171" i="1" s="1"/>
  <c r="M170" i="1"/>
  <c r="L170" i="1"/>
  <c r="K170" i="1"/>
  <c r="J170" i="1"/>
  <c r="I170" i="1"/>
  <c r="H170" i="1"/>
  <c r="M169" i="1"/>
  <c r="L169" i="1"/>
  <c r="K169" i="1"/>
  <c r="J169" i="1"/>
  <c r="I169" i="1"/>
  <c r="H169" i="1"/>
  <c r="N169" i="1" s="1"/>
  <c r="O169" i="1" s="1"/>
  <c r="M168" i="1"/>
  <c r="L168" i="1"/>
  <c r="K168" i="1"/>
  <c r="J168" i="1"/>
  <c r="I168" i="1"/>
  <c r="H168" i="1"/>
  <c r="M167" i="1"/>
  <c r="L167" i="1"/>
  <c r="K167" i="1"/>
  <c r="J167" i="1"/>
  <c r="I167" i="1"/>
  <c r="H167" i="1"/>
  <c r="N167" i="1" s="1"/>
  <c r="O167" i="1" s="1"/>
  <c r="M166" i="1"/>
  <c r="L166" i="1"/>
  <c r="K166" i="1"/>
  <c r="J166" i="1"/>
  <c r="I166" i="1"/>
  <c r="H166" i="1"/>
  <c r="M165" i="1"/>
  <c r="L165" i="1"/>
  <c r="K165" i="1"/>
  <c r="J165" i="1"/>
  <c r="I165" i="1"/>
  <c r="H165" i="1"/>
  <c r="N165" i="1" s="1"/>
  <c r="O165" i="1" s="1"/>
  <c r="M164" i="1"/>
  <c r="L164" i="1"/>
  <c r="K164" i="1"/>
  <c r="J164" i="1"/>
  <c r="I164" i="1"/>
  <c r="H164" i="1"/>
  <c r="M163" i="1"/>
  <c r="L163" i="1"/>
  <c r="K163" i="1"/>
  <c r="J163" i="1"/>
  <c r="I163" i="1"/>
  <c r="H163" i="1"/>
  <c r="N163" i="1" s="1"/>
  <c r="O163" i="1" s="1"/>
  <c r="M160" i="1"/>
  <c r="L160" i="1"/>
  <c r="K160" i="1"/>
  <c r="J160" i="1"/>
  <c r="I160" i="1"/>
  <c r="H160" i="1"/>
  <c r="M159" i="1"/>
  <c r="L159" i="1"/>
  <c r="K159" i="1"/>
  <c r="J159" i="1"/>
  <c r="I159" i="1"/>
  <c r="H159" i="1"/>
  <c r="N159" i="1" s="1"/>
  <c r="O159" i="1" s="1"/>
  <c r="M158" i="1"/>
  <c r="L158" i="1"/>
  <c r="K158" i="1"/>
  <c r="J158" i="1"/>
  <c r="I158" i="1"/>
  <c r="H158" i="1"/>
  <c r="M157" i="1"/>
  <c r="L157" i="1"/>
  <c r="K157" i="1"/>
  <c r="J157" i="1"/>
  <c r="I157" i="1"/>
  <c r="H157" i="1"/>
  <c r="N157" i="1" s="1"/>
  <c r="O157" i="1" s="1"/>
  <c r="M156" i="1"/>
  <c r="L156" i="1"/>
  <c r="K156" i="1"/>
  <c r="J156" i="1"/>
  <c r="I156" i="1"/>
  <c r="H156" i="1"/>
  <c r="M155" i="1"/>
  <c r="L155" i="1"/>
  <c r="K155" i="1"/>
  <c r="J155" i="1"/>
  <c r="I155" i="1"/>
  <c r="H155" i="1"/>
  <c r="M154" i="1"/>
  <c r="L154" i="1"/>
  <c r="K154" i="1"/>
  <c r="J154" i="1"/>
  <c r="I154" i="1"/>
  <c r="H154" i="1"/>
  <c r="N154" i="1" s="1"/>
  <c r="O154" i="1" s="1"/>
  <c r="M153" i="1"/>
  <c r="L153" i="1"/>
  <c r="K153" i="1"/>
  <c r="J153" i="1"/>
  <c r="I153" i="1"/>
  <c r="H153" i="1"/>
  <c r="N153" i="1" s="1"/>
  <c r="O153" i="1" s="1"/>
  <c r="M151" i="1"/>
  <c r="L151" i="1"/>
  <c r="K151" i="1"/>
  <c r="J151" i="1"/>
  <c r="I151" i="1"/>
  <c r="H151" i="1"/>
  <c r="N151" i="1" s="1"/>
  <c r="O151" i="1" s="1"/>
  <c r="M149" i="1"/>
  <c r="L149" i="1"/>
  <c r="K149" i="1"/>
  <c r="J149" i="1"/>
  <c r="I149" i="1"/>
  <c r="H149" i="1"/>
  <c r="N149" i="1" s="1"/>
  <c r="O149" i="1" s="1"/>
  <c r="M146" i="1"/>
  <c r="L146" i="1"/>
  <c r="K146" i="1"/>
  <c r="J146" i="1"/>
  <c r="I146" i="1"/>
  <c r="H146" i="1"/>
  <c r="N146" i="1" s="1"/>
  <c r="O146" i="1" s="1"/>
  <c r="M144" i="1"/>
  <c r="L144" i="1"/>
  <c r="K144" i="1"/>
  <c r="J144" i="1"/>
  <c r="I144" i="1"/>
  <c r="H144" i="1"/>
  <c r="N144" i="1" s="1"/>
  <c r="O144" i="1" s="1"/>
  <c r="M142" i="1"/>
  <c r="L142" i="1"/>
  <c r="K142" i="1"/>
  <c r="J142" i="1"/>
  <c r="I142" i="1"/>
  <c r="H142" i="1"/>
  <c r="N142" i="1" s="1"/>
  <c r="O142" i="1" s="1"/>
  <c r="M140" i="1"/>
  <c r="L140" i="1"/>
  <c r="K140" i="1"/>
  <c r="J140" i="1"/>
  <c r="I140" i="1"/>
  <c r="H140" i="1"/>
  <c r="N140" i="1" s="1"/>
  <c r="O140" i="1" s="1"/>
  <c r="M138" i="1"/>
  <c r="L138" i="1"/>
  <c r="K138" i="1"/>
  <c r="J138" i="1"/>
  <c r="I138" i="1"/>
  <c r="H138" i="1"/>
  <c r="N138" i="1" s="1"/>
  <c r="O138" i="1" s="1"/>
  <c r="M136" i="1"/>
  <c r="L136" i="1"/>
  <c r="K136" i="1"/>
  <c r="J136" i="1"/>
  <c r="I136" i="1"/>
  <c r="H136" i="1"/>
  <c r="N136" i="1" s="1"/>
  <c r="O136" i="1" s="1"/>
  <c r="M135" i="1"/>
  <c r="L135" i="1"/>
  <c r="K135" i="1"/>
  <c r="J135" i="1"/>
  <c r="I135" i="1"/>
  <c r="H135" i="1"/>
  <c r="N135" i="1" s="1"/>
  <c r="O135" i="1" s="1"/>
  <c r="M132" i="1"/>
  <c r="L132" i="1"/>
  <c r="K132" i="1"/>
  <c r="J132" i="1"/>
  <c r="I132" i="1"/>
  <c r="H132" i="1"/>
  <c r="N132" i="1" s="1"/>
  <c r="O132" i="1" s="1"/>
  <c r="M131" i="1"/>
  <c r="L131" i="1"/>
  <c r="K131" i="1"/>
  <c r="J131" i="1"/>
  <c r="I131" i="1"/>
  <c r="H131" i="1"/>
  <c r="N131" i="1" s="1"/>
  <c r="O131" i="1" s="1"/>
  <c r="M129" i="1"/>
  <c r="L129" i="1"/>
  <c r="K129" i="1"/>
  <c r="J129" i="1"/>
  <c r="I129" i="1"/>
  <c r="H129" i="1"/>
  <c r="N129" i="1" s="1"/>
  <c r="O129" i="1" s="1"/>
  <c r="M127" i="1"/>
  <c r="L127" i="1"/>
  <c r="K127" i="1"/>
  <c r="J127" i="1"/>
  <c r="I127" i="1"/>
  <c r="H127" i="1"/>
  <c r="N127" i="1" s="1"/>
  <c r="O127" i="1" s="1"/>
  <c r="M125" i="1"/>
  <c r="L125" i="1"/>
  <c r="K125" i="1"/>
  <c r="J125" i="1"/>
  <c r="I125" i="1"/>
  <c r="H125" i="1"/>
  <c r="N125" i="1" s="1"/>
  <c r="O125" i="1" s="1"/>
  <c r="M123" i="1"/>
  <c r="L123" i="1"/>
  <c r="K123" i="1"/>
  <c r="J123" i="1"/>
  <c r="I123" i="1"/>
  <c r="H123" i="1"/>
  <c r="N123" i="1" s="1"/>
  <c r="O123" i="1" s="1"/>
  <c r="M122" i="1"/>
  <c r="L122" i="1"/>
  <c r="K122" i="1"/>
  <c r="J122" i="1"/>
  <c r="I122" i="1"/>
  <c r="H122" i="1"/>
  <c r="N122" i="1" s="1"/>
  <c r="O122" i="1" s="1"/>
  <c r="M121" i="1"/>
  <c r="L121" i="1"/>
  <c r="K121" i="1"/>
  <c r="J121" i="1"/>
  <c r="I121" i="1"/>
  <c r="H121" i="1"/>
  <c r="N121" i="1" s="1"/>
  <c r="O121" i="1" s="1"/>
  <c r="M120" i="1"/>
  <c r="L120" i="1"/>
  <c r="K120" i="1"/>
  <c r="J120" i="1"/>
  <c r="I120" i="1"/>
  <c r="H120" i="1"/>
  <c r="N120" i="1" s="1"/>
  <c r="O120" i="1" s="1"/>
  <c r="M118" i="1"/>
  <c r="L118" i="1"/>
  <c r="K118" i="1"/>
  <c r="J118" i="1"/>
  <c r="I118" i="1"/>
  <c r="H118" i="1"/>
  <c r="N118" i="1" s="1"/>
  <c r="O118" i="1" s="1"/>
  <c r="M115" i="1"/>
  <c r="L115" i="1"/>
  <c r="K115" i="1"/>
  <c r="J115" i="1"/>
  <c r="I115" i="1"/>
  <c r="H115" i="1"/>
  <c r="N115" i="1" s="1"/>
  <c r="O115" i="1" s="1"/>
  <c r="M114" i="1"/>
  <c r="L114" i="1"/>
  <c r="K114" i="1"/>
  <c r="J114" i="1"/>
  <c r="I114" i="1"/>
  <c r="H114" i="1"/>
  <c r="N114" i="1" s="1"/>
  <c r="O114" i="1" s="1"/>
  <c r="M112" i="1"/>
  <c r="L112" i="1"/>
  <c r="K112" i="1"/>
  <c r="J112" i="1"/>
  <c r="I112" i="1"/>
  <c r="H112" i="1"/>
  <c r="N112" i="1" s="1"/>
  <c r="O112" i="1" s="1"/>
  <c r="M110" i="1"/>
  <c r="L110" i="1"/>
  <c r="K110" i="1"/>
  <c r="J110" i="1"/>
  <c r="I110" i="1"/>
  <c r="H110" i="1"/>
  <c r="N110" i="1" s="1"/>
  <c r="O110" i="1" s="1"/>
  <c r="M109" i="1"/>
  <c r="L109" i="1"/>
  <c r="K109" i="1"/>
  <c r="J109" i="1"/>
  <c r="I109" i="1"/>
  <c r="H109" i="1"/>
  <c r="N109" i="1" s="1"/>
  <c r="O109" i="1" s="1"/>
  <c r="M106" i="1"/>
  <c r="L106" i="1"/>
  <c r="K106" i="1"/>
  <c r="J106" i="1"/>
  <c r="I106" i="1"/>
  <c r="H106" i="1"/>
  <c r="N106" i="1" s="1"/>
  <c r="O106" i="1" s="1"/>
  <c r="M105" i="1"/>
  <c r="L105" i="1"/>
  <c r="K105" i="1"/>
  <c r="J105" i="1"/>
  <c r="I105" i="1"/>
  <c r="H105" i="1"/>
  <c r="N105" i="1" s="1"/>
  <c r="O105" i="1" s="1"/>
  <c r="M104" i="1"/>
  <c r="L104" i="1"/>
  <c r="K104" i="1"/>
  <c r="J104" i="1"/>
  <c r="I104" i="1"/>
  <c r="H104" i="1"/>
  <c r="N104" i="1" s="1"/>
  <c r="O104" i="1" s="1"/>
  <c r="M101" i="1"/>
  <c r="L101" i="1"/>
  <c r="K101" i="1"/>
  <c r="J101" i="1"/>
  <c r="I101" i="1"/>
  <c r="H101" i="1"/>
  <c r="N101" i="1" s="1"/>
  <c r="O101" i="1" s="1"/>
  <c r="M97" i="1"/>
  <c r="L97" i="1"/>
  <c r="K97" i="1"/>
  <c r="J97" i="1"/>
  <c r="I97" i="1"/>
  <c r="H97" i="1"/>
  <c r="N97" i="1" s="1"/>
  <c r="O97" i="1" s="1"/>
  <c r="M96" i="1"/>
  <c r="L96" i="1"/>
  <c r="K96" i="1"/>
  <c r="J96" i="1"/>
  <c r="I96" i="1"/>
  <c r="H96" i="1"/>
  <c r="N96" i="1" s="1"/>
  <c r="O96" i="1" s="1"/>
  <c r="M95" i="1"/>
  <c r="L95" i="1"/>
  <c r="K95" i="1"/>
  <c r="J95" i="1"/>
  <c r="I95" i="1"/>
  <c r="H95" i="1"/>
  <c r="N95" i="1" s="1"/>
  <c r="O95" i="1" s="1"/>
  <c r="M94" i="1"/>
  <c r="L94" i="1"/>
  <c r="K94" i="1"/>
  <c r="J94" i="1"/>
  <c r="I94" i="1"/>
  <c r="H94" i="1"/>
  <c r="N94" i="1" s="1"/>
  <c r="O94" i="1" s="1"/>
  <c r="M91" i="1"/>
  <c r="L91" i="1"/>
  <c r="K91" i="1"/>
  <c r="J91" i="1"/>
  <c r="I91" i="1"/>
  <c r="H91" i="1"/>
  <c r="N91" i="1" s="1"/>
  <c r="O91" i="1" s="1"/>
  <c r="M88" i="1"/>
  <c r="L88" i="1"/>
  <c r="K88" i="1"/>
  <c r="J88" i="1"/>
  <c r="I88" i="1"/>
  <c r="H88" i="1"/>
  <c r="N88" i="1" s="1"/>
  <c r="O88" i="1" s="1"/>
  <c r="M86" i="1"/>
  <c r="L86" i="1"/>
  <c r="K86" i="1"/>
  <c r="J86" i="1"/>
  <c r="I86" i="1"/>
  <c r="H86" i="1"/>
  <c r="N86" i="1" s="1"/>
  <c r="O86" i="1" s="1"/>
  <c r="M85" i="1"/>
  <c r="L85" i="1"/>
  <c r="K85" i="1"/>
  <c r="J85" i="1"/>
  <c r="I85" i="1"/>
  <c r="H85" i="1"/>
  <c r="N85" i="1" s="1"/>
  <c r="O85" i="1" s="1"/>
  <c r="M84" i="1"/>
  <c r="L84" i="1"/>
  <c r="K84" i="1"/>
  <c r="J84" i="1"/>
  <c r="I84" i="1"/>
  <c r="H84" i="1"/>
  <c r="N84" i="1" s="1"/>
  <c r="O84" i="1" s="1"/>
  <c r="M80" i="1"/>
  <c r="L80" i="1"/>
  <c r="K80" i="1"/>
  <c r="J80" i="1"/>
  <c r="I80" i="1"/>
  <c r="H80" i="1"/>
  <c r="N80" i="1" s="1"/>
  <c r="O80" i="1" s="1"/>
  <c r="M78" i="1"/>
  <c r="L78" i="1"/>
  <c r="K78" i="1"/>
  <c r="J78" i="1"/>
  <c r="I78" i="1"/>
  <c r="H78" i="1"/>
  <c r="N78" i="1" s="1"/>
  <c r="O78" i="1" s="1"/>
  <c r="M75" i="1"/>
  <c r="L75" i="1"/>
  <c r="K75" i="1"/>
  <c r="J75" i="1"/>
  <c r="I75" i="1"/>
  <c r="H75" i="1"/>
  <c r="N75" i="1" s="1"/>
  <c r="O75" i="1" s="1"/>
  <c r="M73" i="1"/>
  <c r="L73" i="1"/>
  <c r="K73" i="1"/>
  <c r="J73" i="1"/>
  <c r="I73" i="1"/>
  <c r="H73" i="1"/>
  <c r="N73" i="1" s="1"/>
  <c r="O73" i="1" s="1"/>
  <c r="M70" i="1"/>
  <c r="L70" i="1"/>
  <c r="K70" i="1"/>
  <c r="J70" i="1"/>
  <c r="I70" i="1"/>
  <c r="H70" i="1"/>
  <c r="N70" i="1" s="1"/>
  <c r="O70" i="1" s="1"/>
  <c r="M66" i="1"/>
  <c r="L66" i="1"/>
  <c r="K66" i="1"/>
  <c r="J66" i="1"/>
  <c r="I66" i="1"/>
  <c r="H66" i="1"/>
  <c r="N66" i="1" s="1"/>
  <c r="O66" i="1" s="1"/>
  <c r="M64" i="1"/>
  <c r="L64" i="1"/>
  <c r="K64" i="1"/>
  <c r="J64" i="1"/>
  <c r="I64" i="1"/>
  <c r="H64" i="1"/>
  <c r="N64" i="1" s="1"/>
  <c r="O64" i="1" s="1"/>
  <c r="M62" i="1"/>
  <c r="L62" i="1"/>
  <c r="K62" i="1"/>
  <c r="J62" i="1"/>
  <c r="I62" i="1"/>
  <c r="H62" i="1"/>
  <c r="N62" i="1" s="1"/>
  <c r="O62" i="1" s="1"/>
  <c r="M59" i="1"/>
  <c r="L59" i="1"/>
  <c r="K59" i="1"/>
  <c r="J59" i="1"/>
  <c r="I59" i="1"/>
  <c r="H59" i="1"/>
  <c r="N59" i="1" s="1"/>
  <c r="O59" i="1" s="1"/>
  <c r="M56" i="1"/>
  <c r="L56" i="1"/>
  <c r="K56" i="1"/>
  <c r="J56" i="1"/>
  <c r="I56" i="1"/>
  <c r="H56" i="1"/>
  <c r="N56" i="1" s="1"/>
  <c r="O56" i="1" s="1"/>
  <c r="M54" i="1"/>
  <c r="L54" i="1"/>
  <c r="K54" i="1"/>
  <c r="J54" i="1"/>
  <c r="I54" i="1"/>
  <c r="H54" i="1"/>
  <c r="N54" i="1" s="1"/>
  <c r="O54" i="1" s="1"/>
  <c r="M53" i="1"/>
  <c r="L53" i="1"/>
  <c r="K53" i="1"/>
  <c r="J53" i="1"/>
  <c r="I53" i="1"/>
  <c r="H53" i="1"/>
  <c r="N53" i="1" s="1"/>
  <c r="O53" i="1" s="1"/>
  <c r="M52" i="1"/>
  <c r="L52" i="1"/>
  <c r="K52" i="1"/>
  <c r="J52" i="1"/>
  <c r="I52" i="1"/>
  <c r="H52" i="1"/>
  <c r="N52" i="1" s="1"/>
  <c r="O52" i="1" s="1"/>
  <c r="M51" i="1"/>
  <c r="L51" i="1"/>
  <c r="K51" i="1"/>
  <c r="J51" i="1"/>
  <c r="I51" i="1"/>
  <c r="H51" i="1"/>
  <c r="N51" i="1" s="1"/>
  <c r="O51" i="1" s="1"/>
  <c r="M50" i="1"/>
  <c r="L50" i="1"/>
  <c r="K50" i="1"/>
  <c r="J50" i="1"/>
  <c r="I50" i="1"/>
  <c r="H50" i="1"/>
  <c r="N50" i="1" s="1"/>
  <c r="O50" i="1" s="1"/>
  <c r="M49" i="1"/>
  <c r="L49" i="1"/>
  <c r="K49" i="1"/>
  <c r="J49" i="1"/>
  <c r="I49" i="1"/>
  <c r="H49" i="1"/>
  <c r="N49" i="1" s="1"/>
  <c r="O49" i="1" s="1"/>
  <c r="M48" i="1"/>
  <c r="L48" i="1"/>
  <c r="K48" i="1"/>
  <c r="J48" i="1"/>
  <c r="I48" i="1"/>
  <c r="H48" i="1"/>
  <c r="N48" i="1" s="1"/>
  <c r="O48" i="1" s="1"/>
  <c r="M47" i="1"/>
  <c r="L47" i="1"/>
  <c r="K47" i="1"/>
  <c r="J47" i="1"/>
  <c r="I47" i="1"/>
  <c r="H47" i="1"/>
  <c r="N47" i="1" s="1"/>
  <c r="O47" i="1" s="1"/>
  <c r="M46" i="1"/>
  <c r="L46" i="1"/>
  <c r="K46" i="1"/>
  <c r="J46" i="1"/>
  <c r="I46" i="1"/>
  <c r="H46" i="1"/>
  <c r="N46" i="1" s="1"/>
  <c r="O46" i="1" s="1"/>
  <c r="M45" i="1"/>
  <c r="L45" i="1"/>
  <c r="K45" i="1"/>
  <c r="J45" i="1"/>
  <c r="I45" i="1"/>
  <c r="H45" i="1"/>
  <c r="N45" i="1" s="1"/>
  <c r="O45" i="1" s="1"/>
  <c r="M42" i="1"/>
  <c r="L42" i="1"/>
  <c r="K42" i="1"/>
  <c r="J42" i="1"/>
  <c r="I42" i="1"/>
  <c r="H42" i="1"/>
  <c r="N42" i="1" s="1"/>
  <c r="O42" i="1" s="1"/>
  <c r="M40" i="1"/>
  <c r="L40" i="1"/>
  <c r="K40" i="1"/>
  <c r="J40" i="1"/>
  <c r="I40" i="1"/>
  <c r="H40" i="1"/>
  <c r="N40" i="1" s="1"/>
  <c r="O40" i="1" s="1"/>
  <c r="M38" i="1"/>
  <c r="L38" i="1"/>
  <c r="K38" i="1"/>
  <c r="J38" i="1"/>
  <c r="I38" i="1"/>
  <c r="H38" i="1"/>
  <c r="N38" i="1" s="1"/>
  <c r="O38" i="1" s="1"/>
  <c r="M35" i="1"/>
  <c r="L35" i="1"/>
  <c r="K35" i="1"/>
  <c r="J35" i="1"/>
  <c r="I35" i="1"/>
  <c r="H35" i="1"/>
  <c r="N35" i="1" s="1"/>
  <c r="O35" i="1" s="1"/>
  <c r="M31" i="1"/>
  <c r="L31" i="1"/>
  <c r="K31" i="1"/>
  <c r="J31" i="1"/>
  <c r="I31" i="1"/>
  <c r="H31" i="1"/>
  <c r="N31" i="1" s="1"/>
  <c r="O31" i="1" s="1"/>
  <c r="M28" i="1"/>
  <c r="L28" i="1"/>
  <c r="K28" i="1"/>
  <c r="J28" i="1"/>
  <c r="I28" i="1"/>
  <c r="H28" i="1"/>
  <c r="N28" i="1" s="1"/>
  <c r="O28" i="1" s="1"/>
  <c r="M27" i="1"/>
  <c r="L27" i="1"/>
  <c r="K27" i="1"/>
  <c r="J27" i="1"/>
  <c r="I27" i="1"/>
  <c r="H27" i="1"/>
  <c r="N27" i="1" s="1"/>
  <c r="O27" i="1" s="1"/>
  <c r="M26" i="1"/>
  <c r="L26" i="1"/>
  <c r="K26" i="1"/>
  <c r="J26" i="1"/>
  <c r="I26" i="1"/>
  <c r="H26" i="1"/>
  <c r="N26" i="1" s="1"/>
  <c r="O26" i="1" s="1"/>
  <c r="M24" i="1"/>
  <c r="L24" i="1"/>
  <c r="K24" i="1"/>
  <c r="J24" i="1"/>
  <c r="I24" i="1"/>
  <c r="H24" i="1"/>
  <c r="N24" i="1" s="1"/>
  <c r="O24" i="1" s="1"/>
  <c r="M21" i="1"/>
  <c r="L21" i="1"/>
  <c r="K21" i="1"/>
  <c r="J21" i="1"/>
  <c r="I21" i="1"/>
  <c r="H21" i="1"/>
  <c r="N21" i="1" s="1"/>
  <c r="O21" i="1" s="1"/>
  <c r="M18" i="1"/>
  <c r="L18" i="1"/>
  <c r="K18" i="1"/>
  <c r="J18" i="1"/>
  <c r="I18" i="1"/>
  <c r="H18" i="1"/>
  <c r="N18" i="1" s="1"/>
  <c r="O18" i="1" s="1"/>
  <c r="M17" i="1"/>
  <c r="L17" i="1"/>
  <c r="K17" i="1"/>
  <c r="J17" i="1"/>
  <c r="I17" i="1"/>
  <c r="H17" i="1"/>
  <c r="N17" i="1" s="1"/>
  <c r="O17" i="1" s="1"/>
  <c r="M13" i="1"/>
  <c r="L13" i="1"/>
  <c r="K13" i="1"/>
  <c r="J13" i="1"/>
  <c r="I13" i="1"/>
  <c r="H13" i="1"/>
  <c r="N13" i="1" s="1"/>
  <c r="O13" i="1" s="1"/>
  <c r="M12" i="1"/>
  <c r="L12" i="1"/>
  <c r="K12" i="1"/>
  <c r="J12" i="1"/>
  <c r="I12" i="1"/>
  <c r="H12" i="1"/>
  <c r="N12" i="1" s="1"/>
  <c r="O12" i="1" s="1"/>
  <c r="M11" i="1"/>
  <c r="L11" i="1"/>
  <c r="K11" i="1"/>
  <c r="J11" i="1"/>
  <c r="I11" i="1"/>
  <c r="H11" i="1"/>
  <c r="N11" i="1" s="1"/>
  <c r="O11" i="1" s="1"/>
  <c r="M10" i="1"/>
  <c r="L10" i="1"/>
  <c r="K10" i="1"/>
  <c r="J10" i="1"/>
  <c r="I10" i="1"/>
  <c r="H10" i="1"/>
  <c r="N10" i="1" s="1"/>
  <c r="O10" i="1" s="1"/>
  <c r="M8" i="1"/>
  <c r="L8" i="1"/>
  <c r="K8" i="1"/>
  <c r="J8" i="1"/>
  <c r="I8" i="1"/>
  <c r="H8" i="1"/>
  <c r="N8" i="1" s="1"/>
  <c r="O8" i="1" s="1"/>
  <c r="M6" i="1"/>
  <c r="M267" i="1" s="1"/>
  <c r="L6" i="1"/>
  <c r="L267" i="1" s="1"/>
  <c r="K6" i="1"/>
  <c r="K267" i="1" s="1"/>
  <c r="J6" i="1"/>
  <c r="J267" i="1" s="1"/>
  <c r="I6" i="1"/>
  <c r="I267" i="1" s="1"/>
  <c r="H6" i="1"/>
  <c r="H267" i="1" s="1"/>
  <c r="N6" i="1" l="1"/>
  <c r="N155" i="1"/>
  <c r="O155" i="1" s="1"/>
  <c r="N156" i="1"/>
  <c r="O156" i="1" s="1"/>
  <c r="N158" i="1"/>
  <c r="O158" i="1" s="1"/>
  <c r="N160" i="1"/>
  <c r="O160" i="1" s="1"/>
  <c r="N164" i="1"/>
  <c r="O164" i="1" s="1"/>
  <c r="N166" i="1"/>
  <c r="O166" i="1" s="1"/>
  <c r="N168" i="1"/>
  <c r="O168" i="1" s="1"/>
  <c r="N170" i="1"/>
  <c r="O170" i="1" s="1"/>
  <c r="N172" i="1"/>
  <c r="O172" i="1" s="1"/>
  <c r="N174" i="1"/>
  <c r="O174" i="1" s="1"/>
  <c r="N176" i="1"/>
  <c r="O176" i="1" s="1"/>
  <c r="N178" i="1"/>
  <c r="O178" i="1" s="1"/>
  <c r="N180" i="1"/>
  <c r="O180" i="1" s="1"/>
  <c r="N182" i="1"/>
  <c r="O182" i="1" s="1"/>
  <c r="N184" i="1"/>
  <c r="O184" i="1" s="1"/>
  <c r="N186" i="1"/>
  <c r="O186" i="1" s="1"/>
  <c r="N188" i="1"/>
  <c r="O188" i="1" s="1"/>
  <c r="N191" i="1"/>
  <c r="O191" i="1" s="1"/>
  <c r="N193" i="1"/>
  <c r="O193" i="1" s="1"/>
  <c r="N195" i="1"/>
  <c r="O195" i="1" s="1"/>
  <c r="N197" i="1"/>
  <c r="O197" i="1" s="1"/>
  <c r="N199" i="1"/>
  <c r="O199" i="1" s="1"/>
  <c r="N201" i="1"/>
  <c r="O201" i="1" s="1"/>
  <c r="N203" i="1"/>
  <c r="O203" i="1" s="1"/>
  <c r="N207" i="1"/>
  <c r="O207" i="1" s="1"/>
  <c r="N213" i="1"/>
  <c r="O213" i="1" s="1"/>
  <c r="N216" i="1"/>
  <c r="O216" i="1" s="1"/>
  <c r="N218" i="1"/>
  <c r="O218" i="1" s="1"/>
  <c r="N221" i="1"/>
  <c r="O221" i="1" s="1"/>
  <c r="N224" i="1"/>
  <c r="O224" i="1" s="1"/>
  <c r="N229" i="1"/>
  <c r="O229" i="1" s="1"/>
  <c r="N231" i="1"/>
  <c r="O231" i="1" s="1"/>
  <c r="N237" i="1"/>
  <c r="O237" i="1" s="1"/>
  <c r="N239" i="1"/>
  <c r="O239" i="1" s="1"/>
  <c r="N243" i="1"/>
  <c r="O243" i="1" s="1"/>
  <c r="N247" i="1"/>
  <c r="O247" i="1" s="1"/>
  <c r="N251" i="1"/>
  <c r="O251" i="1" s="1"/>
  <c r="N253" i="1"/>
  <c r="O253" i="1" s="1"/>
  <c r="N256" i="1"/>
  <c r="O256" i="1" s="1"/>
  <c r="N258" i="1"/>
  <c r="O258" i="1" s="1"/>
  <c r="N262" i="1"/>
  <c r="O262" i="1" s="1"/>
  <c r="N266" i="1"/>
  <c r="O266" i="1" s="1"/>
  <c r="N267" i="1" l="1"/>
  <c r="O6" i="1"/>
  <c r="O267" i="1" s="1"/>
</calcChain>
</file>

<file path=xl/sharedStrings.xml><?xml version="1.0" encoding="utf-8"?>
<sst xmlns="http://schemas.openxmlformats.org/spreadsheetml/2006/main" count="706" uniqueCount="659">
  <si>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</si>
  <si>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</si>
  <si>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</si>
  <si>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</si>
  <si>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</si>
  <si>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</si>
  <si>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</si>
  <si>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</si>
  <si>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</si>
  <si>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</si>
  <si>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</si>
  <si>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</si>
  <si>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</si>
  <si>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</si>
  <si>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</si>
  <si>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Дата изменения:</t>
  </si>
  <si>
    <t>09.12.2025</t>
  </si>
  <si>
    <t>Общая площадь, кв.м:</t>
  </si>
  <si>
    <t>1.1</t>
  </si>
  <si>
    <t>Фундаменты</t>
  </si>
  <si>
    <t>1.1.2</t>
  </si>
  <si>
    <t>Осушение фундаментов</t>
  </si>
  <si>
    <t>1.1.2.3</t>
  </si>
  <si>
    <t>Осушение электрическими насосами</t>
  </si>
  <si>
    <t>100 м3 воды</t>
  </si>
  <si>
    <t>1.1.3</t>
  </si>
  <si>
    <t>Устранение замачивания грунта под фундаментом</t>
  </si>
  <si>
    <t>1.1.3.1</t>
  </si>
  <si>
    <t>Замена поврежденного участка трубопровода диаметром до 100 мм</t>
  </si>
  <si>
    <t>1 участок (6 м)</t>
  </si>
  <si>
    <t>1.1.7</t>
  </si>
  <si>
    <t>Восстановление (ремонт)  освещения и  вентиляции  подвала</t>
  </si>
  <si>
    <t>1.1.7.2</t>
  </si>
  <si>
    <t>Замена неисправных участков сети электрической сети (открытая проводка) при числе и сечении жил в проводе 2х1,5 и 2х2,5 кв.м</t>
  </si>
  <si>
    <t>100 пог.м</t>
  </si>
  <si>
    <t>1.1.7.4</t>
  </si>
  <si>
    <t>Замена выключателей</t>
  </si>
  <si>
    <t>100 шт.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</si>
  <si>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</si>
  <si>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</si>
  <si>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</si>
  <si>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</si>
  <si>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</si>
  <si>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1.2</t>
  </si>
  <si>
    <t>Кирпичные, каменные и железобетонные стены</t>
  </si>
  <si>
    <t>1.2.11</t>
  </si>
  <si>
    <t>Герметизация, теплоизоляция межпанельных и иных швов</t>
  </si>
  <si>
    <t>1.2.11.1</t>
  </si>
  <si>
    <t>Заделка и герметизация швов и стыков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</si>
  <si>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</si>
  <si>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</si>
  <si>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</si>
  <si>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</si>
  <si>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</si>
  <si>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1.2.12</t>
  </si>
  <si>
    <t>Окраска  фасадов</t>
  </si>
  <si>
    <t>1.2.12.3</t>
  </si>
  <si>
    <t>Окрашивание кирпичных фасадов водными составами</t>
  </si>
  <si>
    <t>1.2.12.3.1</t>
  </si>
  <si>
    <t>Окрашивание гладких  кирпичных фасадов известковыми  составами</t>
  </si>
  <si>
    <t>100 м2 обработанной поверхности</t>
  </si>
  <si>
    <t>1.2.17</t>
  </si>
  <si>
    <t>Окраска стен  помещений  общего  пользования</t>
  </si>
  <si>
    <t>1.2.17.3</t>
  </si>
  <si>
    <t>Масляная окраска ранее окрашенных поверхностей</t>
  </si>
  <si>
    <t>1.2.17.3.2</t>
  </si>
  <si>
    <t>Улучшенная масляная окраска ранее окрашенных поверхностей</t>
  </si>
  <si>
    <t>100 м2 окрашенной поверхности</t>
  </si>
  <si>
    <t>1.2.18</t>
  </si>
  <si>
    <t>Внутренняя отделка зданий</t>
  </si>
  <si>
    <t>1.2.18.1</t>
  </si>
  <si>
    <t>Ремонт внутренней штукатурки потолков отдельными местами</t>
  </si>
  <si>
    <t>100 кв. м</t>
  </si>
  <si>
    <t>1.2.18.3</t>
  </si>
  <si>
    <t>Перетирка штукатурки поверхности потолков</t>
  </si>
  <si>
    <t>100 кв.м</t>
  </si>
  <si>
    <t>1.2.18.12</t>
  </si>
  <si>
    <t>Перетирка штукатурки поверхностей стен и перегородок</t>
  </si>
  <si>
    <t>100 м2 поверхности</t>
  </si>
  <si>
    <t>1.4</t>
  </si>
  <si>
    <t>Балконы, козырьки, лоджии и эркеры</t>
  </si>
  <si>
    <t>1.4.3</t>
  </si>
  <si>
    <t>Восстановление (ремонт), модернизация гидроизоляции  балконов, лоджий,   козырьков и  эркеров</t>
  </si>
  <si>
    <t>1.4.3.3</t>
  </si>
  <si>
    <t>Ремонт гидроизоляции козырьков</t>
  </si>
  <si>
    <t>100 кв.м.</t>
  </si>
  <si>
    <t>1.8</t>
  </si>
  <si>
    <t>Крыши и кровли</t>
  </si>
  <si>
    <t>1.8.1</t>
  </si>
  <si>
    <t>Устранение протечек кровли</t>
  </si>
  <si>
    <t>1.8.1.3</t>
  </si>
  <si>
    <t>Устранение  протечек рулонной кровли</t>
  </si>
  <si>
    <t>1.8.1.3.1</t>
  </si>
  <si>
    <t>Постановка заплат на покрытия из мягкой кровли</t>
  </si>
  <si>
    <t>100 м2 покрытий</t>
  </si>
  <si>
    <t>1.8.2</t>
  </si>
  <si>
    <t>Ремонт, модернизация кровли и крыши</t>
  </si>
  <si>
    <t>1.8.2.2</t>
  </si>
  <si>
    <t>Ремонт, модернизация рулонной кровли</t>
  </si>
  <si>
    <t>1.8.2.2.1</t>
  </si>
  <si>
    <t>Смена мягкой кровли в два слоя отдельными местами</t>
  </si>
  <si>
    <t>100 м2 сменяемого покрытия</t>
  </si>
  <si>
    <t>1.8.9</t>
  </si>
  <si>
    <t>Восстановление (ремонт) выходов на крышу</t>
  </si>
  <si>
    <t>1.8.9.1</t>
  </si>
  <si>
    <t>Окраска масляными составами ранее окрашенных металлических лестниц и дверей на крышу за 1 раз</t>
  </si>
  <si>
    <t>1.8.10</t>
  </si>
  <si>
    <t>Восстановление (ремонт) парапетов, архитектурных деталей и т.д.</t>
  </si>
  <si>
    <t>1.8.10.4</t>
  </si>
  <si>
    <t>Ремонт металлических парапетных решеток</t>
  </si>
  <si>
    <t>100 м решетки</t>
  </si>
  <si>
    <t>1.9</t>
  </si>
  <si>
    <t>Оконные и дверные проемы</t>
  </si>
  <si>
    <t>1.9.1</t>
  </si>
  <si>
    <t>Восстановление (ремонт) дверей в помещениях  общего  пользования</t>
  </si>
  <si>
    <t>1.9.1.8</t>
  </si>
  <si>
    <t>Ремонт порогов шириной 100 мм</t>
  </si>
  <si>
    <t>100 отремонтированных мест</t>
  </si>
  <si>
    <t>1.9.1.10</t>
  </si>
  <si>
    <t>Смена дверных петель при одной сменяемой петле в полотне</t>
  </si>
  <si>
    <t>10 петель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</si>
  <si>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</si>
  <si>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</si>
  <si>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</si>
  <si>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</si>
  <si>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</si>
  <si>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</si>
  <si>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</si>
  <si>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</si>
  <si>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</si>
  <si>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</si>
  <si>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</si>
  <si>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1.9.1.23</t>
  </si>
  <si>
    <t>Улучшенная масляная окраска дверей</t>
  </si>
  <si>
    <t>1.9.1.24</t>
  </si>
  <si>
    <t>Установка дверного доводчика к металлическим дверям</t>
  </si>
  <si>
    <t>1 доводчик</t>
  </si>
  <si>
    <t>1.9.1.25</t>
  </si>
  <si>
    <t>Установка дверного доводчика к дверям из древесины</t>
  </si>
  <si>
    <t>1 прибор</t>
  </si>
  <si>
    <t>1.9.1.26</t>
  </si>
  <si>
    <t>Установка дверей и заслонок в проемах подвальных и чердачных помещений</t>
  </si>
  <si>
    <t>1 полотно</t>
  </si>
  <si>
    <t>1.9.7</t>
  </si>
  <si>
    <t>Замена оконных и балконных блоков на пластиковые</t>
  </si>
  <si>
    <t>1.9.7.1</t>
  </si>
  <si>
    <t>Замена глухих окон на пластиковые с площадью проема до 2 кв.м</t>
  </si>
  <si>
    <t>100 м2 проемов</t>
  </si>
  <si>
    <t>1.10</t>
  </si>
  <si>
    <t>Лестницы</t>
  </si>
  <si>
    <t>1.10.3</t>
  </si>
  <si>
    <t>Ремонт  ограждений,  поручней и  предохранительных  сеток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</si>
  <si>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</si>
  <si>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</si>
  <si>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</si>
  <si>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</t>
  </si>
  <si>
    <t>Ремонт,  замена  перил</t>
  </si>
  <si>
    <t>1.10.4.1</t>
  </si>
  <si>
    <t>Смена отдельных частей поручней</t>
  </si>
  <si>
    <t>1.10.4.1.1</t>
  </si>
  <si>
    <t>Смена прямых  частей поручней</t>
  </si>
  <si>
    <t>100 м</t>
  </si>
  <si>
    <t>1.10.5</t>
  </si>
  <si>
    <t>Окраска  металлических  элементов  лестниц</t>
  </si>
  <si>
    <t>1.10.5.2</t>
  </si>
  <si>
    <t>Окраска масляными составами ранее окрашенных металлических решеток без рельефа за 2 раза</t>
  </si>
  <si>
    <t xml:space="preserve"> 100 м2 окрашиваемой поверхности</t>
  </si>
  <si>
    <t>1.10.7</t>
  </si>
  <si>
    <t>Прочие работы по ремонту лестниц</t>
  </si>
  <si>
    <t>1.10.7.2</t>
  </si>
  <si>
    <t>Окрашивание масляными составами деревянных поручней</t>
  </si>
  <si>
    <t>100  м поручня</t>
  </si>
  <si>
    <t>2.1</t>
  </si>
  <si>
    <t>Система теплоснабжения</t>
  </si>
  <si>
    <t>2.1.2</t>
  </si>
  <si>
    <t>Ремонт,  модернизация внутридомовых отопительных сетей</t>
  </si>
  <si>
    <t>2.1.2.1</t>
  </si>
  <si>
    <t>Смена отдельных участков трубопроводов из стальных водогазопроводных неоцинкованных труб на резьбе</t>
  </si>
  <si>
    <t>2.1.2.1.6</t>
  </si>
  <si>
    <t>Смена отдельных участков трубопроводов из стальных водогазопроводных неоцинкованных труб диаметром 50 мм</t>
  </si>
  <si>
    <t>100 м трубопровода</t>
  </si>
  <si>
    <t>2.1.3</t>
  </si>
  <si>
    <t>Ремонт,  промывка  отопительных  элементов</t>
  </si>
  <si>
    <t>2.1.3.1</t>
  </si>
  <si>
    <t>Смена радиаторных блоков</t>
  </si>
  <si>
    <t>2.1.3.1.2</t>
  </si>
  <si>
    <t>Смена радиаторных блоков, вес радиаторного блока до 80 кг</t>
  </si>
  <si>
    <t>100 радиаторных блоков</t>
  </si>
  <si>
    <t>2.1.6</t>
  </si>
  <si>
    <t>Ремонт или  замена  неисправных  приборов  учета и  регулирования</t>
  </si>
  <si>
    <t>2.1.6.2</t>
  </si>
  <si>
    <t>Замена прибора учета</t>
  </si>
  <si>
    <t>прибор</t>
  </si>
  <si>
    <t>2.1.8</t>
  </si>
  <si>
    <t>Ремонт  насосов,  магистральной запорной арматуры,  автоматических устройств</t>
  </si>
  <si>
    <t>2.1.8.7</t>
  </si>
  <si>
    <t>Смена пробковых кранов</t>
  </si>
  <si>
    <t>2.1.8.7.1</t>
  </si>
  <si>
    <t>Смена пробковых кранов диаметром до 25 мм</t>
  </si>
  <si>
    <t>100 кранов</t>
  </si>
  <si>
    <t>2.1.8.9</t>
  </si>
  <si>
    <t>Установка кранов для спуска воздуха из системы</t>
  </si>
  <si>
    <t>2.1.8.9.1</t>
  </si>
  <si>
    <t>Установка кранов для спуска воздуха из системы, диаметр крана 15-20 мм</t>
  </si>
  <si>
    <t>2.2</t>
  </si>
  <si>
    <t>Системы холодного и горячего водоснабжения</t>
  </si>
  <si>
    <t>2.2.1</t>
  </si>
  <si>
    <t>Ремонт,  замена  внутридомовых сетей водоснабжения</t>
  </si>
  <si>
    <t>2.2.1.1</t>
  </si>
  <si>
    <t>Смена отдельных участков трубопроводов  горячего водоснабжения из стальных водогазопроводных оцинкованных труб при соединении труб на резьбе</t>
  </si>
  <si>
    <t>2.2.1.1.5</t>
  </si>
  <si>
    <t>Смена отдельных участков трубопроводов  водоснабжения из стальных водогазопроводных оцинкованных труб диаметром 40 мм</t>
  </si>
  <si>
    <t>100 м трубопроводов</t>
  </si>
  <si>
    <t>2.2.1.1.6</t>
  </si>
  <si>
    <t>Смена отдельных участков трубопроводов  водоснабжения из стальных водогазопроводных оцинкованных труб диаметром 50 мм</t>
  </si>
  <si>
    <t>2.2.4</t>
  </si>
  <si>
    <t>Теплоизоляция сетей  горячего  водоснабжения</t>
  </si>
  <si>
    <t>100 м2 утепленного участка</t>
  </si>
  <si>
    <t>2.2.6</t>
  </si>
  <si>
    <t>Ремонт оборудования, приборов и арматуры водопроводной сети общего пользования</t>
  </si>
  <si>
    <t>2.2.6.5</t>
  </si>
  <si>
    <t>Смена задвижек диаметром до 100 мм</t>
  </si>
  <si>
    <t>2.3</t>
  </si>
  <si>
    <t>Система водоотведения</t>
  </si>
  <si>
    <t>2.3.2</t>
  </si>
  <si>
    <t>Смена отдельных участков внутренних чугунных канализационных труб и выпусков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</si>
  <si>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</si>
  <si>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</si>
  <si>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2.3.3</t>
  </si>
  <si>
    <t>Подчеканка раструбов канализационных труб</t>
  </si>
  <si>
    <t>2.3.3.3</t>
  </si>
  <si>
    <t>Подчеканка раструбов чугунных канализационных труб</t>
  </si>
  <si>
    <t>2.3.3.3.3</t>
  </si>
  <si>
    <t>Подчеканка раструбов  чугунных  канализационных труб диаметром до 100 мм</t>
  </si>
  <si>
    <t>100  раструбов</t>
  </si>
  <si>
    <t>2.3.4</t>
  </si>
  <si>
    <t>Устранение засоров внутренних канализационных трубопроводов</t>
  </si>
  <si>
    <t>100 м трубы</t>
  </si>
  <si>
    <t>2.3.5</t>
  </si>
  <si>
    <t>Заделка стыков соединений стояков внутренних водостоков</t>
  </si>
  <si>
    <t>100 соединений</t>
  </si>
  <si>
    <t>2.3.7</t>
  </si>
  <si>
    <t>Набивка сальников компенсационных патрубков на стояках внутренних водостоков</t>
  </si>
  <si>
    <t>100 патрубков</t>
  </si>
  <si>
    <t>2.4</t>
  </si>
  <si>
    <t>Система газоснабжения</t>
  </si>
  <si>
    <t>2.4.1</t>
  </si>
  <si>
    <t>Ремонт внутридомовых сетей  газоснабжения</t>
  </si>
  <si>
    <t>2.4.1.1</t>
  </si>
  <si>
    <t>Техническое обслуживание внутридомовых газопроводов</t>
  </si>
  <si>
    <t>2.4.1.1.2</t>
  </si>
  <si>
    <t>Техническое обслуживание внутридомовых газопроводов диаметром 25-50 мм</t>
  </si>
  <si>
    <t>100 пог. м.</t>
  </si>
  <si>
    <t>2.4.2</t>
  </si>
  <si>
    <t>Содержание и ремонт внутридомового и (или) внутриквартирного газового оборудования</t>
  </si>
  <si>
    <t>2.4.2.9</t>
  </si>
  <si>
    <t>Техническое обслуживание внутридомового газового оборудования многоквартирных домов</t>
  </si>
  <si>
    <t>2.4.2.9.2</t>
  </si>
  <si>
    <t>Проверка герметичности внутридомового газопровода и технологических устройств на нем при количестве приборов на одном стояке 6-10 шт.</t>
  </si>
  <si>
    <t>стояк</t>
  </si>
  <si>
    <t>2.4.2.9.3</t>
  </si>
  <si>
    <t>Проверка герметичности внутридомового газопровода и технологических устройств на нем при количестве приборов на одном стояке 11-15 шт.</t>
  </si>
  <si>
    <t>2.4.2.9.5</t>
  </si>
  <si>
    <t>Проверка на герметичность фланцевых, резьбовых соединений и сварных стыков на газопроводе в подъезде здания при диаметре до 32 мм</t>
  </si>
  <si>
    <t>10 шт.</t>
  </si>
  <si>
    <t>2.5</t>
  </si>
  <si>
    <t>Внутридомовое электро-, радио- и телеоборудование</t>
  </si>
  <si>
    <t>2.5.1</t>
  </si>
  <si>
    <t>Ремонт,  замена  шкафов  вводных и  вводно-распределительных устройств</t>
  </si>
  <si>
    <t>2.5.1.4</t>
  </si>
  <si>
    <t>Замена предохранителя</t>
  </si>
  <si>
    <t>1 предохранитель</t>
  </si>
  <si>
    <t>2.5.4</t>
  </si>
  <si>
    <t>Ремонт, замена  внутридомовых электрических сетей</t>
  </si>
  <si>
    <t>1000 пог.м.</t>
  </si>
  <si>
    <t>2.5.5</t>
  </si>
  <si>
    <t>Ремонт, замена этажных  щитков и  шкафов</t>
  </si>
  <si>
    <t>2.5.5.2</t>
  </si>
  <si>
    <t>Ремонт щитков</t>
  </si>
  <si>
    <t>1 щит</t>
  </si>
  <si>
    <t>2.5.7</t>
  </si>
  <si>
    <t>Ремонт,  замена  осветительных установок  помещений   общего  пользования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</si>
  <si>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</si>
  <si>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</si>
  <si>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</si>
  <si>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</si>
  <si>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</si>
  <si>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</si>
  <si>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2.6</t>
  </si>
  <si>
    <t>Подготовка многоквартирного дома к сезонной эксплуатации, проведение технических осмотров</t>
  </si>
  <si>
    <t>2.6.3</t>
  </si>
  <si>
    <t>Замена разбитых стекол окон и дверей в помещениях общего пользования</t>
  </si>
  <si>
    <t>2.6.3.5</t>
  </si>
  <si>
    <t>Смена стекол на штапиках без замазки</t>
  </si>
  <si>
    <t>100 м фальца</t>
  </si>
  <si>
    <t>2.6.8</t>
  </si>
  <si>
    <t>Проведение технических осмотров и мелкий ремонт стен, полов, перекрытий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</si>
  <si>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</si>
  <si>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</si>
  <si>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</si>
  <si>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</si>
  <si>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</si>
  <si>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2.6.8.6</t>
  </si>
  <si>
    <t>Осмотр железобетонных перекрытий</t>
  </si>
  <si>
    <t>2.6.8.8</t>
  </si>
  <si>
    <t>Осмотр внутренней отделки стен</t>
  </si>
  <si>
    <t>2.6.9</t>
  </si>
  <si>
    <t>Осмотр всех элементов кровли, водостоков</t>
  </si>
  <si>
    <t>2.6.9.2</t>
  </si>
  <si>
    <t>Осмотр всех элементов рулонных кровель, водостоков</t>
  </si>
  <si>
    <t>1000 кв.м. кровли</t>
  </si>
  <si>
    <t>2.6.11</t>
  </si>
  <si>
    <t>Проведение технических осмотров и устранение незначительных неисправностей в  системах водоснабжения и  водоотведения</t>
  </si>
  <si>
    <t>2.6.11.3</t>
  </si>
  <si>
    <t>Прочистка канализационного лежака</t>
  </si>
  <si>
    <t>100 м канализационного лежака</t>
  </si>
  <si>
    <t>2.6.12</t>
  </si>
  <si>
    <t>Проведение технических осмотров и устранение незначительных неисправностей в  системах вентиляции</t>
  </si>
  <si>
    <t>2.6.12.1</t>
  </si>
  <si>
    <t>Проверка наличия тяги в  дымовентиляционных каналах</t>
  </si>
  <si>
    <t>2.6.13</t>
  </si>
  <si>
    <t>Проведение технических осмотров и устранение незначительных неисправностей в   электротехнических устройствах</t>
  </si>
  <si>
    <t>2.6.13.4</t>
  </si>
  <si>
    <t>Проверка заземления оболочки электрокабеля</t>
  </si>
  <si>
    <t>2.6.13.5</t>
  </si>
  <si>
    <t>Замеры сопротивления изоляции проводов</t>
  </si>
  <si>
    <t xml:space="preserve">измерение 1         </t>
  </si>
  <si>
    <t>2.6.14</t>
  </si>
  <si>
    <t>Проведение технических осмотров и устранение незначительных неисправностей в  системе   теплоснабжения</t>
  </si>
  <si>
    <t>2.6.14.1</t>
  </si>
  <si>
    <t>Осмотр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</si>
  <si>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</si>
  <si>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</si>
  <si>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</si>
  <si>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</si>
  <si>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</si>
  <si>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</si>
  <si>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</t>
  </si>
  <si>
    <t>Гидравлическое испытание трубопроводов систем центрального отопления (расконсервация)</t>
  </si>
  <si>
    <t>2.6.14.3.5</t>
  </si>
  <si>
    <t>Рабочая проверка системы в целом при диаметре трубопровода до 100 мм</t>
  </si>
  <si>
    <t>2.6.14.4</t>
  </si>
  <si>
    <t>Промывка трубопроводов системы центрального отопления</t>
  </si>
  <si>
    <t>2.6.14.4.2</t>
  </si>
  <si>
    <t>Промывка трубопроводов системы центрального отопления до 100 мм</t>
  </si>
  <si>
    <t>10 м трубопровода (100 м3 здания)</t>
  </si>
  <si>
    <t>2.6.14.5</t>
  </si>
  <si>
    <t>Устранение незначительных неисправностей в  системе   теплоснабжения</t>
  </si>
  <si>
    <t>2.6.14.5.3</t>
  </si>
  <si>
    <t>Вывертывание и ввертывание радиаторной пробки</t>
  </si>
  <si>
    <t>100 пробок</t>
  </si>
  <si>
    <t>2.6.14.5.5</t>
  </si>
  <si>
    <t>Ликвидация воздушных пробок в системе отопления</t>
  </si>
  <si>
    <t>2.6.14.5.5.1</t>
  </si>
  <si>
    <t>Ликвидация воздушных пробок в стояке системы отопления</t>
  </si>
  <si>
    <t>100 стояков</t>
  </si>
  <si>
    <t>2.6.14.5.7</t>
  </si>
  <si>
    <t>Мелкий ремонт изоляции</t>
  </si>
  <si>
    <t>2.6.14.5.7.1</t>
  </si>
  <si>
    <t>Мелкий ремонт изоляции трубопроводов при диаметре 50 мм</t>
  </si>
  <si>
    <t>2.10</t>
  </si>
  <si>
    <t>Лифты</t>
  </si>
  <si>
    <t>2.10.1</t>
  </si>
  <si>
    <t>Содержание лифтов</t>
  </si>
  <si>
    <t>2.10.1.1</t>
  </si>
  <si>
    <t>Диспетчерское обслуживание лифтов</t>
  </si>
  <si>
    <t xml:space="preserve"> пульт управления оборудованием жилых зданий</t>
  </si>
  <si>
    <t>2.10.1.2</t>
  </si>
  <si>
    <t>Ежедневное обслуживание</t>
  </si>
  <si>
    <t>2.10.1.2.2</t>
  </si>
  <si>
    <t>Ежедневное обслуживание лифтов в многоквартирных домах высотой 6-9 этажей</t>
  </si>
  <si>
    <t>1 лифт</t>
  </si>
  <si>
    <t>2.10.1.3</t>
  </si>
  <si>
    <t>Периодические осмотры</t>
  </si>
  <si>
    <t>2.10.1.3.1</t>
  </si>
  <si>
    <t>Проверка двухсторонней переговорной связи и сигналов неисправности лифта из кабины</t>
  </si>
  <si>
    <t>1 кабина</t>
  </si>
  <si>
    <t>2.10.1.3.2</t>
  </si>
  <si>
    <t>Проверка машинного помещения</t>
  </si>
  <si>
    <t>1 машинное помещение</t>
  </si>
  <si>
    <t>2.10.1.3.3</t>
  </si>
  <si>
    <t>Проверка санитарного состояния крыши кабины и приямка шахты</t>
  </si>
  <si>
    <t>2.10.1.3.4</t>
  </si>
  <si>
    <t>Проверка освещения лифта</t>
  </si>
  <si>
    <t>2.10.1.3.5</t>
  </si>
  <si>
    <t>Проверка точности остановок и работы лифта по вызовам</t>
  </si>
  <si>
    <t>1 этаж</t>
  </si>
  <si>
    <t>2.10.1.3.6</t>
  </si>
  <si>
    <t>Проверка точности остановок и работы лифта по приказам</t>
  </si>
  <si>
    <t>2.10.1.3.7</t>
  </si>
  <si>
    <t>Проверка ограждения и надежности запирания дверей шахты (ДШ)</t>
  </si>
  <si>
    <t>2.10.1.3.9</t>
  </si>
  <si>
    <t>Проверка купе кабины лифта</t>
  </si>
  <si>
    <t>1 купе</t>
  </si>
  <si>
    <t>2.10.1.4</t>
  </si>
  <si>
    <t>Техническое обслуживание</t>
  </si>
  <si>
    <t>2.10.1.4.2</t>
  </si>
  <si>
    <t>Техническое обслуживание лифтов (ТО-1)</t>
  </si>
  <si>
    <t>2.10.1.4.2.1</t>
  </si>
  <si>
    <t>Тормозное устройство</t>
  </si>
  <si>
    <t>1 тормозное устройство</t>
  </si>
  <si>
    <t>2.10.1.4.2.2</t>
  </si>
  <si>
    <t>Проверка работы лифта</t>
  </si>
  <si>
    <t>2.10.1.4.2.3</t>
  </si>
  <si>
    <t>Шахта</t>
  </si>
  <si>
    <t>2.10.1.4.2.4</t>
  </si>
  <si>
    <t>Двери шахты лифта автоматические</t>
  </si>
  <si>
    <t>2.10.1.4.2.7</t>
  </si>
  <si>
    <t>Направляющая кабины или противовеса</t>
  </si>
  <si>
    <t>2.10.1.4.2.8</t>
  </si>
  <si>
    <t>Электромагнит тормозного устройства</t>
  </si>
  <si>
    <t>электромагнит</t>
  </si>
  <si>
    <t>2.10.1.4.2.9</t>
  </si>
  <si>
    <t>Канатоведущий шкив (КВШ)</t>
  </si>
  <si>
    <t>КВШ</t>
  </si>
  <si>
    <t>2.10.1.4.2.10</t>
  </si>
  <si>
    <t>Подвеска кабины</t>
  </si>
  <si>
    <t>подвеска</t>
  </si>
  <si>
    <t>2.10.1.4.2.11</t>
  </si>
  <si>
    <t>Устройство слабины подъемных канатов (СПК)</t>
  </si>
  <si>
    <t>1 устройство</t>
  </si>
  <si>
    <t>2.10.1.4.2.13</t>
  </si>
  <si>
    <t>Ловители</t>
  </si>
  <si>
    <t>1 система</t>
  </si>
  <si>
    <t>2.10.1.4.2.14</t>
  </si>
  <si>
    <t>Башмаки кабины и противовеса</t>
  </si>
  <si>
    <t>1 башмак</t>
  </si>
  <si>
    <t>2.10.1.4.2.15</t>
  </si>
  <si>
    <t>Пост управления</t>
  </si>
  <si>
    <t>2.10.1.4.2.16</t>
  </si>
  <si>
    <t>Подвижный пол кабины</t>
  </si>
  <si>
    <t>2.10.1.4.2.17</t>
  </si>
  <si>
    <t>Кабина лифта</t>
  </si>
  <si>
    <t>2.10.1.4.2.19</t>
  </si>
  <si>
    <t>Крыша кабины и каркас</t>
  </si>
  <si>
    <t>2.10.1.4.2.20</t>
  </si>
  <si>
    <t>Привод дверей кабины</t>
  </si>
  <si>
    <t>1 привод</t>
  </si>
  <si>
    <t>2.10.1.4.2.22</t>
  </si>
  <si>
    <t>Канаты тяговые или ограничители скорости</t>
  </si>
  <si>
    <t>2.10.1.4.2.23</t>
  </si>
  <si>
    <t>Смазывающее устройство</t>
  </si>
  <si>
    <t>смазывающий аппарат</t>
  </si>
  <si>
    <t>2.10.1.4.2.24</t>
  </si>
  <si>
    <t>Датчики селекции или точной остановки</t>
  </si>
  <si>
    <t>1 датчик</t>
  </si>
  <si>
    <t>2.10.1.4.2.25</t>
  </si>
  <si>
    <t>Вызывные аппараты</t>
  </si>
  <si>
    <t>1 аппарат</t>
  </si>
  <si>
    <t>2.10.1.4.2.27</t>
  </si>
  <si>
    <t>Натяжное устройство</t>
  </si>
  <si>
    <t>2.10.1.4.2.28</t>
  </si>
  <si>
    <t>Электроаппараты, установленные в приямке</t>
  </si>
  <si>
    <t>электроаппарат</t>
  </si>
  <si>
    <t>2.10.1.4.2.29</t>
  </si>
  <si>
    <t>Ограничитель скорости (ОС)</t>
  </si>
  <si>
    <t>ОС</t>
  </si>
  <si>
    <t>2.10.1.4.2.30</t>
  </si>
  <si>
    <t>Проверка исправности работы ограничителя скорости (ОС)</t>
  </si>
  <si>
    <t>2.10.1.4.2.31</t>
  </si>
  <si>
    <t>Электропроводка в машинном помещении</t>
  </si>
  <si>
    <t>машинное помещение</t>
  </si>
  <si>
    <t>2.10.1.4.2.32</t>
  </si>
  <si>
    <t>Электропроводка в шахте лифта</t>
  </si>
  <si>
    <t>шахта</t>
  </si>
  <si>
    <t>2.10.1.4.3</t>
  </si>
  <si>
    <t>Техническое обслуживание лифтов (ТО-2)</t>
  </si>
  <si>
    <t>2.10.1.4.3.1</t>
  </si>
  <si>
    <t>Электродвигатель главного привода</t>
  </si>
  <si>
    <t>1 электродвигатель</t>
  </si>
  <si>
    <t>2.10.1.4.3.2</t>
  </si>
  <si>
    <t>Редуктор главного привода</t>
  </si>
  <si>
    <t>1 редуктор</t>
  </si>
  <si>
    <t>2.10.1.4.3.3</t>
  </si>
  <si>
    <t>Отводные блоки</t>
  </si>
  <si>
    <t>1 блок</t>
  </si>
  <si>
    <t>2.10.1.4.3.4</t>
  </si>
  <si>
    <t>Шкаф управления лифтом</t>
  </si>
  <si>
    <t>1 шкаф</t>
  </si>
  <si>
    <t>2.10.1.4.3.5</t>
  </si>
  <si>
    <t>Трансформаторы</t>
  </si>
  <si>
    <t>1 трансформатор</t>
  </si>
  <si>
    <t>2.10.1.4.3.6</t>
  </si>
  <si>
    <t>Электропроводка в клеммной коробке кабины</t>
  </si>
  <si>
    <t>10 клемм</t>
  </si>
  <si>
    <t>2.10.1.4.3.7</t>
  </si>
  <si>
    <t>Электроаппараты на крыше кабины (КЛ, СПК, ДУСК, ДТО и др.)</t>
  </si>
  <si>
    <t>2.10.1.4.3.8</t>
  </si>
  <si>
    <t>Подвесной кабель</t>
  </si>
  <si>
    <t>1 кабель</t>
  </si>
  <si>
    <t>2.10.1.4.3.9</t>
  </si>
  <si>
    <t>Подвеска противовеса</t>
  </si>
  <si>
    <t>1 противовес</t>
  </si>
  <si>
    <t>2.10.1.4.3.10</t>
  </si>
  <si>
    <t>Каркас противовеса</t>
  </si>
  <si>
    <t>2.10.1.4.3.12</t>
  </si>
  <si>
    <t>Электропроводка в клеммной коробке шахты</t>
  </si>
  <si>
    <t>1 коробка</t>
  </si>
  <si>
    <t>2.10.1.4.3.13</t>
  </si>
  <si>
    <t>Конечный выключатель на лифтах</t>
  </si>
  <si>
    <t>2.10.1.4.3.14</t>
  </si>
  <si>
    <t>Буферное устройство</t>
  </si>
  <si>
    <t>буферное устройство</t>
  </si>
  <si>
    <t>2.10.1.4.3.15</t>
  </si>
  <si>
    <t>Вводный рубильник</t>
  </si>
  <si>
    <t>рубильник</t>
  </si>
  <si>
    <t>2.10.1.5</t>
  </si>
  <si>
    <t>Периодическое освидетельствование</t>
  </si>
  <si>
    <t>2.10.1.6</t>
  </si>
  <si>
    <t>Текущий ремонт</t>
  </si>
  <si>
    <t>2.10.1.6.2</t>
  </si>
  <si>
    <t>Текущий ремонт лифтов</t>
  </si>
  <si>
    <t>2.10.1.6.2.37</t>
  </si>
  <si>
    <t>Ремонт смазывающих аппаратов противовеса или кабины</t>
  </si>
  <si>
    <t>1 смазывающий аппарат</t>
  </si>
  <si>
    <t>2.10.1.7</t>
  </si>
  <si>
    <t>Аварийное обслуживание лифтов</t>
  </si>
  <si>
    <t>1 лифт в год</t>
  </si>
  <si>
    <t>3.1</t>
  </si>
  <si>
    <t>Работы по санитарному содержанию помещений общего пользования, системы мусороудаления и фасадов</t>
  </si>
  <si>
    <t>3.1.1</t>
  </si>
  <si>
    <t>Подметание и мытье полов во всех помещениях  общего пользования, кабинах лифта и их влажная уборка</t>
  </si>
  <si>
    <t>3.1.1.3</t>
  </si>
  <si>
    <t>Подметание и влажная уборка полов во всех помещениях  общего пользования в многоквартирном доме с лифтами без  мусоропроводов</t>
  </si>
  <si>
    <t>3.1.1.3.1</t>
  </si>
  <si>
    <t>Подметание лестничных площадок и маршей</t>
  </si>
  <si>
    <t>3.1.1.3.1.1</t>
  </si>
  <si>
    <t>Подметание лестничных площадок и маршей нижних трех этажей с предварительным их увлажнением (в доме с лифтами без мусоропроводов)</t>
  </si>
  <si>
    <t>100 м2  убираемой  площади</t>
  </si>
  <si>
    <t>3.1.1.3.1.2</t>
  </si>
  <si>
    <t>Подметание лестничных площадок и маршей выше третьего этажа с предварительным их увлажнением  (в доме с лифтами без мусоропроводов)</t>
  </si>
  <si>
    <t>100 м2 убираемой  площади</t>
  </si>
  <si>
    <t>3.1.1.3.2</t>
  </si>
  <si>
    <t>Мытье лестничных площадок и маршей</t>
  </si>
  <si>
    <t>3.1.1.3.2.1</t>
  </si>
  <si>
    <t>Мытье  лестничных площадок и маршей нижних трех этажей  (в доме с лифтами без мусоропроводов)</t>
  </si>
  <si>
    <t>3.1.1.3.2.2</t>
  </si>
  <si>
    <t>Мытье  лестничных площадок и маршей  выше третьего этажа  (в доме с лифтами без мусоропроводов)</t>
  </si>
  <si>
    <t>3.1.1.3.2.3</t>
  </si>
  <si>
    <t>Мытье  лифтов  (в доме с лифтами без мусоропроводов)</t>
  </si>
  <si>
    <t>100 м2  лифтов</t>
  </si>
  <si>
    <t>3.1.3</t>
  </si>
  <si>
    <t>Протирка пыли  с колпаков  светильников, подоконников в помещениях общего  пользования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</si>
  <si>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</si>
  <si>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</si>
  <si>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</si>
  <si>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</si>
  <si>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</si>
  <si>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</t>
  </si>
  <si>
    <t>Мытье и протирка дверей и окон в помещениях общего пользования, включая двери  мусорных камер</t>
  </si>
  <si>
    <t>3.1.4.1</t>
  </si>
  <si>
    <t>Мытье и протирка дверей  в помещениях общего пользования</t>
  </si>
  <si>
    <t>100 м2 дверей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</si>
  <si>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</si>
  <si>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</si>
  <si>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</si>
  <si>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3.1.5</t>
  </si>
  <si>
    <t>Уборка чердачного  и подвального помещений</t>
  </si>
  <si>
    <t>3.1.5.2</t>
  </si>
  <si>
    <t>Уборка и транспортировка мусора в установленное место</t>
  </si>
  <si>
    <t>3.1.5.2.1</t>
  </si>
  <si>
    <t>Уборка мусора и транспортировкой мусора до 50 м</t>
  </si>
  <si>
    <t>1 м3  мусора</t>
  </si>
  <si>
    <t>3.1.9</t>
  </si>
  <si>
    <t>Влажная протирка элементов лестничных клеток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</si>
  <si>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</si>
  <si>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</si>
  <si>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</si>
  <si>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</si>
  <si>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</si>
  <si>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</si>
  <si>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3.1.11</t>
  </si>
  <si>
    <t>Обметание пыли с потолков</t>
  </si>
  <si>
    <t>100 кв. м. потолков</t>
  </si>
  <si>
    <t>3.2</t>
  </si>
  <si>
    <t>Уборка земельного участка, входящего в состав общего имущества многоквартирного дома</t>
  </si>
  <si>
    <t>3.2.1</t>
  </si>
  <si>
    <t>Подметание  земельного  участка в летний период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</si>
  <si>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</si>
  <si>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</si>
  <si>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</si>
  <si>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</t>
  </si>
  <si>
    <t>Уборка и уход за газонами, очистка  урн</t>
  </si>
  <si>
    <t>3.2.3.1</t>
  </si>
  <si>
    <t>Уборка и уход за газонами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</si>
  <si>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</si>
  <si>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</si>
  <si>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</si>
  <si>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</si>
  <si>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</si>
  <si>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</si>
  <si>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</si>
  <si>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</si>
  <si>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</si>
  <si>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</t>
  </si>
  <si>
    <t>Содержание урн</t>
  </si>
  <si>
    <t>3.2.3.2.10</t>
  </si>
  <si>
    <t>Очистка опрокидывающихся урн от мусора</t>
  </si>
  <si>
    <t>на 100 урн</t>
  </si>
  <si>
    <t>3.2.5</t>
  </si>
  <si>
    <t>Очистка и текущий ремонт детских и спортивных  площадок, элементов  благоустройства</t>
  </si>
  <si>
    <t>3.2.5.4</t>
  </si>
  <si>
    <t>Заполнение песочницы песком</t>
  </si>
  <si>
    <t>песочница</t>
  </si>
  <si>
    <t>3.2.6</t>
  </si>
  <si>
    <t>Сдвижка и  подметание  снега при отсутствии снегопадов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</si>
  <si>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</si>
  <si>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</si>
  <si>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</si>
  <si>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3.2.7</t>
  </si>
  <si>
    <t>Сдвижка и  подметание снега  при снегопаде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</si>
  <si>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</si>
  <si>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</si>
  <si>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</t>
  </si>
  <si>
    <t>Ликвидация наледи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</si>
  <si>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</si>
  <si>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</si>
  <si>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3.2.9</t>
  </si>
  <si>
    <t>Очистка кровли</t>
  </si>
  <si>
    <t>3.2.9.2</t>
  </si>
  <si>
    <t>Очистка кровли от снега, сбивание сосулек (при толщине слоя до 20 см)</t>
  </si>
  <si>
    <t>100 кв.м. кровли</t>
  </si>
  <si>
    <t>3.2.9.4</t>
  </si>
  <si>
    <t>Очистка кровли от мусора, листьев</t>
  </si>
  <si>
    <t>100 кв.м кровли</t>
  </si>
  <si>
    <t>3.2.9.5</t>
  </si>
  <si>
    <t>Сдвигание снега и скола, сброшенного с крыш</t>
  </si>
  <si>
    <t>1 куб.м.</t>
  </si>
  <si>
    <t>3.2.10</t>
  </si>
  <si>
    <t>Механизированная уборка территории</t>
  </si>
  <si>
    <t>3.2.10.4</t>
  </si>
  <si>
    <t>Сдвигание свежевыпавшего снега толщиной слоя свыше 2 см в валы или кучи трактором</t>
  </si>
  <si>
    <t>1000 м2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</si>
  <si>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</si>
  <si>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</si>
  <si>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</si>
  <si>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</si>
  <si>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</si>
  <si>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</si>
  <si>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</si>
  <si>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</si>
  <si>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3.4</t>
  </si>
  <si>
    <t>Прочие работы</t>
  </si>
  <si>
    <t>3.4.1</t>
  </si>
  <si>
    <t>Дератизация чердаков и подвалов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</si>
  <si>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</si>
  <si>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</si>
  <si>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</si>
  <si>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</si>
  <si>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</si>
  <si>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3.4.5</t>
  </si>
  <si>
    <t>Не прошедшие проверку или альтернативные виды работ</t>
  </si>
  <si>
    <t>3.4.5.15</t>
  </si>
  <si>
    <t>Раздел удален. Устранение аварии на внутридомовых инженерных сетях и выполнение заявок населения (в домах, оборудованных газовыми плитами)</t>
  </si>
  <si>
    <t>3.4.5.15.3</t>
  </si>
  <si>
    <t>Устранение аварии на внутридомовых инженерных сетях при сроке эксплуатации многоквартирного дома от 31 до 50 лет</t>
  </si>
  <si>
    <t>1000 м2  общей площади жилых помещений, оборудованных газовыми плитами (в год для одной смены)</t>
  </si>
  <si>
    <t>ИТОГО:</t>
  </si>
  <si>
    <t>1.7 МКД квартирного типа с лифтом, без мусоропровода, с газоснабжением, с уборкой мест общего пользования и придомовой территории ООО Квартал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</si>
</sst>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1" x14ac:knownFonts="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i/>
      <sz val="11"/>
      <name val="Calibri"/>
    </font>
    <font>
      <b/>
      <sz val="11"/>
      <name val="Calibri"/>
    </font>
    <font>
      <b/>
      <sz val="10"/>
      <color rgb="FF707070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8" fillId="0" borderId="0" xfId="0" applyFont="1"/>
    <xf numFmtId="0" fontId="8" fillId="4" borderId="9" xfId="0" applyFont="1" applyFill="1" applyBorder="1" applyAlignment="1">
      <alignment horizontal="center" vertical="top" wrapText="1" indent="1"/>
    </xf>
    <xf numFmtId="49" fontId="8" fillId="4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right" vertical="top" indent="1"/>
    </xf>
    <xf numFmtId="0" fontId="3" fillId="6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7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9" fillId="0" borderId="0" xfId="0" applyFont="1" applyAlignment="1">
      <alignment horizontal="right" vertical="center" wrapText="1" indent="1"/>
    </xf>
    <xf numFmtId="164" fontId="9" fillId="2" borderId="2" xfId="0" applyNumberFormat="1" applyFont="1" applyFill="1" applyBorder="1" applyAlignment="1">
      <alignment horizontal="right" vertical="center" wrapText="1" indent="1"/>
    </xf>
    <xf numFmtId="2" fontId="9" fillId="2" borderId="3" xfId="0" applyNumberFormat="1" applyFont="1" applyFill="1" applyBorder="1" applyAlignment="1">
      <alignment horizontal="right" vertical="center" wrapText="1" indent="1"/>
    </xf>
    <xf numFmtId="0" fontId="8" fillId="4" borderId="11" xfId="0" applyFont="1" applyFill="1" applyBorder="1" applyAlignment="1">
      <alignment indent="1"/>
    </xf>
    <xf numFmtId="0" fontId="7" fillId="3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indent="2"/>
    </xf>
    <xf numFmtId="0" fontId="10" fillId="2" borderId="1" xfId="0" applyFont="1" applyFill="1" applyBorder="1" applyAlignment="1">
      <alignment horizontal="right" vertical="center" wrapText="1" indent="1"/>
    </xf>
    <xf numFmtId="0" fontId="8" fillId="4" borderId="11" xfId="0" applyFont="1" applyFill="1" applyBorder="1" applyAlignment="1">
      <alignment indent="3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7"/>
  <sheetViews>
    <sheetView tabSelected="1" workbookViewId="0">
      <pane ySplit="1" topLeftCell="A2" activePane="bottomLeft" state="frozen"/>
      <selection pane="bottomLeft" activeCell="B2" sqref="B2:L3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37" t="s">
        <v>658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 t="s">
        <v>15</v>
      </c>
      <c r="N2" s="38"/>
      <c r="O2" s="13" t="s">
        <v>16</v>
      </c>
    </row>
    <row r="3" spans="1:15" ht="14.4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9" t="s">
        <v>17</v>
      </c>
      <c r="N3" s="39"/>
      <c r="O3" s="14">
        <v>9445.7000000000007</v>
      </c>
    </row>
    <row r="4" spans="1:15" s="15" customFormat="1" ht="14.4" x14ac:dyDescent="0.3">
      <c r="B4" s="16"/>
      <c r="C4" s="17" t="s">
        <v>18</v>
      </c>
      <c r="D4" s="33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18" customFormat="1" ht="13.8" x14ac:dyDescent="0.3">
      <c r="B5" s="19"/>
      <c r="C5" s="20" t="s">
        <v>20</v>
      </c>
      <c r="D5" s="32" t="s">
        <v>21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x14ac:dyDescent="0.3">
      <c r="B6" s="21">
        <v>1</v>
      </c>
      <c r="C6" s="22" t="s">
        <v>22</v>
      </c>
      <c r="D6" s="23" t="s">
        <v>23</v>
      </c>
      <c r="E6" s="23" t="s">
        <v>24</v>
      </c>
      <c r="F6" s="24">
        <v>1</v>
      </c>
      <c r="G6" s="25">
        <v>1</v>
      </c>
      <c r="H6" s="26">
        <f>F6 * G6 * 1502.62518</f>
        <v>1502.62518</v>
      </c>
      <c r="I6" s="26">
        <f>F6 * G6 * 0</f>
        <v>0</v>
      </c>
      <c r="J6" s="26">
        <f>F6 * G6 * 19.10304</f>
        <v>19.10304</v>
      </c>
      <c r="K6" s="26">
        <f>F6 * G6 * 1430.799696</f>
        <v>1430.799696</v>
      </c>
      <c r="L6" s="26">
        <f>F6 * G6 * 343.197087</f>
        <v>343.19708700000001</v>
      </c>
      <c r="M6" s="26">
        <f>F6 * G6 * 300.525036</f>
        <v>300.525036</v>
      </c>
      <c r="N6" s="27">
        <f>SUM(H6:M6)</f>
        <v>3596.250039</v>
      </c>
      <c r="O6" s="28">
        <f>IF(O3&gt;0,N6/O3/12,0)</f>
        <v>3.1727400113279056E-2</v>
      </c>
    </row>
    <row r="7" spans="1:15" s="18" customFormat="1" ht="13.8" x14ac:dyDescent="0.3">
      <c r="B7" s="19"/>
      <c r="C7" s="20" t="s">
        <v>25</v>
      </c>
      <c r="D7" s="32" t="s">
        <v>26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7.6" x14ac:dyDescent="0.3">
      <c r="B8" s="21">
        <v>2</v>
      </c>
      <c r="C8" s="22" t="s">
        <v>27</v>
      </c>
      <c r="D8" s="23" t="s">
        <v>28</v>
      </c>
      <c r="E8" s="23" t="s">
        <v>29</v>
      </c>
      <c r="F8" s="24">
        <v>2</v>
      </c>
      <c r="G8" s="25">
        <v>1</v>
      </c>
      <c r="H8" s="26">
        <f>F8 * G8 * 1481.43767</f>
        <v>2962.8753400000001</v>
      </c>
      <c r="I8" s="26">
        <f>F8 * G8 * 3281.747533</f>
        <v>6563.4950660000004</v>
      </c>
      <c r="J8" s="26">
        <f>F8 * G8 * 33.486129</f>
        <v>66.972257999999997</v>
      </c>
      <c r="K8" s="26">
        <f>F8 * G8 * 1410.62495</f>
        <v>2821.2498999999998</v>
      </c>
      <c r="L8" s="26">
        <f>F8 * G8 * 686.128092</f>
        <v>1372.2561840000001</v>
      </c>
      <c r="M8" s="26">
        <f>F8 * G8 * 296.287534</f>
        <v>592.57506799999999</v>
      </c>
      <c r="N8" s="27">
        <f>SUM(H8:M8)</f>
        <v>14379.423815999999</v>
      </c>
      <c r="O8" s="28">
        <f>IF(O3&gt;0,N8/O3/12,0)</f>
        <v>0.12686040399335144</v>
      </c>
    </row>
    <row r="9" spans="1:15" s="18" customFormat="1" ht="13.8" x14ac:dyDescent="0.3">
      <c r="B9" s="19"/>
      <c r="C9" s="20" t="s">
        <v>30</v>
      </c>
      <c r="D9" s="32" t="s">
        <v>31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5" ht="41.4" x14ac:dyDescent="0.3">
      <c r="B10" s="21">
        <v>3</v>
      </c>
      <c r="C10" s="22" t="s">
        <v>32</v>
      </c>
      <c r="D10" s="23" t="s">
        <v>33</v>
      </c>
      <c r="E10" s="23" t="s">
        <v>34</v>
      </c>
      <c r="F10" s="24">
        <v>0.1</v>
      </c>
      <c r="G10" s="25">
        <v>2</v>
      </c>
      <c r="H10" s="26">
        <f>F10 * G10 * 2581.072824</f>
        <v>516.21456479999995</v>
      </c>
      <c r="I10" s="26">
        <f>F10 * G10 * 7773.034049</f>
        <v>1554.6068098000001</v>
      </c>
      <c r="J10" s="26">
        <f>F10 * G10 * 0</f>
        <v>0</v>
      </c>
      <c r="K10" s="26">
        <f>F10 * G10 * 2457.697543</f>
        <v>491.53950860000009</v>
      </c>
      <c r="L10" s="26">
        <f>F10 * G10 * 1406.10600299999</f>
        <v>281.22120059999804</v>
      </c>
      <c r="M10" s="26">
        <f>F10 * G10 * 516.214565</f>
        <v>103.242913</v>
      </c>
      <c r="N10" s="27">
        <f>SUM(H10:M10)</f>
        <v>2946.8249967999982</v>
      </c>
      <c r="O10" s="28">
        <f>IF(O3&gt;0,N10/O3/12,0)</f>
        <v>2.5997940833747967E-2</v>
      </c>
    </row>
    <row r="11" spans="1:15" x14ac:dyDescent="0.3">
      <c r="B11" s="21">
        <v>4</v>
      </c>
      <c r="C11" s="22" t="s">
        <v>35</v>
      </c>
      <c r="D11" s="23" t="s">
        <v>36</v>
      </c>
      <c r="E11" s="23" t="s">
        <v>37</v>
      </c>
      <c r="F11" s="24">
        <v>0.1</v>
      </c>
      <c r="G11" s="25">
        <v>0.2</v>
      </c>
      <c r="H11" s="26">
        <f>F11 * G11 * 6019.651005</f>
        <v>120.39302010000002</v>
      </c>
      <c r="I11" s="26">
        <f>F11 * G11 * 7527.332</f>
        <v>150.54664000000002</v>
      </c>
      <c r="J11" s="26">
        <f>F11 * G11 * 0</f>
        <v>0</v>
      </c>
      <c r="K11" s="26">
        <f>F11 * G11 * 5731.911687</f>
        <v>114.63823374000002</v>
      </c>
      <c r="L11" s="26">
        <f>F11 * G11 * 2160.938026</f>
        <v>43.218760520000004</v>
      </c>
      <c r="M11" s="26">
        <f>F11 * G11 * 1203.930201</f>
        <v>24.078604020000004</v>
      </c>
      <c r="N11" s="27">
        <f>SUM(H11:M11)</f>
        <v>452.87525838000005</v>
      </c>
      <c r="O11" s="28">
        <f>IF(O3&gt;0,N11/O3/12,0)</f>
        <v>3.9954270054098689E-3</v>
      </c>
    </row>
    <row r="12" spans="1:15" x14ac:dyDescent="0.3">
      <c r="B12" s="21">
        <v>5</v>
      </c>
      <c r="C12" s="22" t="s">
        <v>38</v>
      </c>
      <c r="D12" s="23" t="s">
        <v>39</v>
      </c>
      <c r="E12" s="23" t="s">
        <v>40</v>
      </c>
      <c r="F12" s="24">
        <v>1</v>
      </c>
      <c r="G12" s="25">
        <v>0.2</v>
      </c>
      <c r="H12" s="26">
        <f>F12 * G12 * 8700.180008</f>
        <v>1740.0360016</v>
      </c>
      <c r="I12" s="26">
        <f>F12 * G12 * 53640.440947</f>
        <v>10728.088189400001</v>
      </c>
      <c r="J12" s="26">
        <f>F12 * G12 * 0</f>
        <v>0</v>
      </c>
      <c r="K12" s="26">
        <f>F12 * G12 * 8284.311403</f>
        <v>1656.8622806000001</v>
      </c>
      <c r="L12" s="26">
        <f>F12 * G12 * 7634.504162</f>
        <v>1526.9008324000001</v>
      </c>
      <c r="M12" s="26">
        <f>F12 * G12 * 1740.036002</f>
        <v>348.00720040000004</v>
      </c>
      <c r="N12" s="27">
        <f>SUM(H12:M12)</f>
        <v>15999.894504400001</v>
      </c>
      <c r="O12" s="28">
        <f>IF(O3&gt;0,N12/O3/12,0)</f>
        <v>0.14115677419707731</v>
      </c>
    </row>
    <row r="13" spans="1:15" ht="41.4" x14ac:dyDescent="0.3">
      <c r="B13" s="21">
        <v>6</v>
      </c>
      <c r="C13" s="22" t="s">
        <v>41</v>
      </c>
      <c r="D13" s="23" t="s">
        <v>42</v>
      </c>
      <c r="E13" s="23" t="s">
        <v>37</v>
      </c>
      <c r="F13" s="24">
        <v>0.09</v>
      </c>
      <c r="G13" s="25">
        <v>0.1</v>
      </c>
      <c r="H13" s="26">
        <f>F13 * G13 * 15122.740319</f>
        <v>136.10466287099999</v>
      </c>
      <c r="I13" s="26">
        <f>F13 * G13 * 16971.42176</f>
        <v>152.74279583999999</v>
      </c>
      <c r="J13" s="26">
        <f>F13 * G13 * 0</f>
        <v>0</v>
      </c>
      <c r="K13" s="26">
        <f>F13 * G13 * 14399.8733309999</f>
        <v>129.59885997899909</v>
      </c>
      <c r="L13" s="26">
        <f>F13 * G13 * 5224.210556</f>
        <v>47.017895003999996</v>
      </c>
      <c r="M13" s="26">
        <f>F13 * G13 * 3024.548064</f>
        <v>27.220932575999999</v>
      </c>
      <c r="N13" s="27">
        <f>SUM(H13:M13)</f>
        <v>492.685146269999</v>
      </c>
      <c r="O13" s="28">
        <f>IF(O3&gt;0,N13/O3/12,0)</f>
        <v>4.3466440308817678E-3</v>
      </c>
    </row>
    <row r="14" spans="1:15" s="15" customFormat="1" ht="14.4" x14ac:dyDescent="0.3">
      <c r="B14" s="16"/>
      <c r="C14" s="17" t="s">
        <v>43</v>
      </c>
      <c r="D14" s="33" t="s">
        <v>44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s="18" customFormat="1" ht="13.8" x14ac:dyDescent="0.3">
      <c r="B15" s="19"/>
      <c r="C15" s="20" t="s">
        <v>45</v>
      </c>
      <c r="D15" s="32" t="s">
        <v>46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s="18" customFormat="1" ht="13.8" x14ac:dyDescent="0.3">
      <c r="B16" s="19"/>
      <c r="C16" s="20" t="s">
        <v>47</v>
      </c>
      <c r="D16" s="34" t="s">
        <v>48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2:15" ht="27.6" x14ac:dyDescent="0.3">
      <c r="B17" s="21">
        <v>7</v>
      </c>
      <c r="C17" s="22" t="s">
        <v>49</v>
      </c>
      <c r="D17" s="23" t="s">
        <v>50</v>
      </c>
      <c r="E17" s="23" t="s">
        <v>51</v>
      </c>
      <c r="F17" s="24">
        <v>0.5</v>
      </c>
      <c r="G17" s="25">
        <v>1</v>
      </c>
      <c r="H17" s="26">
        <f>F17 * G17 * 2469.805358</f>
        <v>1234.902679</v>
      </c>
      <c r="I17" s="26">
        <f>F17 * G17 * 2048.44283</f>
        <v>1024.221415</v>
      </c>
      <c r="J17" s="26">
        <f>F17 * G17 * 0</f>
        <v>0</v>
      </c>
      <c r="K17" s="26">
        <f>F17 * G17 * 2351.748662</f>
        <v>1175.874331</v>
      </c>
      <c r="L17" s="26">
        <f>F17 * G17 * 776.897561</f>
        <v>388.4487805</v>
      </c>
      <c r="M17" s="26">
        <f>F17 * G17 * 493.961072</f>
        <v>246.980536</v>
      </c>
      <c r="N17" s="27">
        <f>SUM(H17:M17)</f>
        <v>4070.4277414999997</v>
      </c>
      <c r="O17" s="28">
        <f>IF(O3&gt;0,N17/O3/12,0)</f>
        <v>3.591076487625762E-2</v>
      </c>
    </row>
    <row r="18" spans="2:15" ht="27.6" x14ac:dyDescent="0.3">
      <c r="B18" s="21">
        <v>8</v>
      </c>
      <c r="C18" s="22" t="s">
        <v>52</v>
      </c>
      <c r="D18" s="23" t="s">
        <v>53</v>
      </c>
      <c r="E18" s="23" t="s">
        <v>51</v>
      </c>
      <c r="F18" s="24">
        <v>1</v>
      </c>
      <c r="G18" s="25">
        <v>1</v>
      </c>
      <c r="H18" s="26">
        <f>F18 * G18 * 1198.93464</f>
        <v>1198.9346399999999</v>
      </c>
      <c r="I18" s="26">
        <f>F18 * G18 * 2048.44283</f>
        <v>2048.44283</v>
      </c>
      <c r="J18" s="26">
        <f>F18 * G18 * 0</f>
        <v>0</v>
      </c>
      <c r="K18" s="26">
        <f>F18 * G18 * 1141.625564</f>
        <v>1141.6255639999999</v>
      </c>
      <c r="L18" s="26">
        <f>F18 * G18 * 488.337341</f>
        <v>488.33734099999998</v>
      </c>
      <c r="M18" s="26">
        <f>F18 * G18 * 239.786928</f>
        <v>239.78692799999999</v>
      </c>
      <c r="N18" s="27">
        <f>SUM(H18:M18)</f>
        <v>5117.1273029999993</v>
      </c>
      <c r="O18" s="28">
        <f>IF(O3&gt;0,N18/O3/12,0)</f>
        <v>4.5145121616185134E-2</v>
      </c>
    </row>
    <row r="19" spans="2:15" s="18" customFormat="1" ht="13.8" x14ac:dyDescent="0.3">
      <c r="B19" s="19"/>
      <c r="C19" s="20" t="s">
        <v>54</v>
      </c>
      <c r="D19" s="32" t="s">
        <v>55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2:15" s="18" customFormat="1" ht="13.8" x14ac:dyDescent="0.3">
      <c r="B20" s="19"/>
      <c r="C20" s="20" t="s">
        <v>56</v>
      </c>
      <c r="D20" s="34" t="s">
        <v>57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2:15" ht="27.6" x14ac:dyDescent="0.3">
      <c r="B21" s="21">
        <v>9</v>
      </c>
      <c r="C21" s="22" t="s">
        <v>58</v>
      </c>
      <c r="D21" s="23" t="s">
        <v>59</v>
      </c>
      <c r="E21" s="23" t="s">
        <v>60</v>
      </c>
      <c r="F21" s="24">
        <v>0.15</v>
      </c>
      <c r="G21" s="25">
        <v>1</v>
      </c>
      <c r="H21" s="26">
        <f>F21 * G21 * 2426.24011</f>
        <v>363.93601649999999</v>
      </c>
      <c r="I21" s="26">
        <f>F21 * G21 * 506.645736</f>
        <v>75.996860400000003</v>
      </c>
      <c r="J21" s="26">
        <f>F21 * G21 * 795.71808</f>
        <v>119.35771199999999</v>
      </c>
      <c r="K21" s="26">
        <f>F21 * G21 * 2310.265833</f>
        <v>346.53987494999996</v>
      </c>
      <c r="L21" s="26">
        <f>F21 * G21 * 688.294426</f>
        <v>103.2441639</v>
      </c>
      <c r="M21" s="26">
        <f>F21 * G21 * 485.248022</f>
        <v>72.787203300000002</v>
      </c>
      <c r="N21" s="27">
        <f>SUM(H21:M21)</f>
        <v>1081.8618310499999</v>
      </c>
      <c r="O21" s="28">
        <f>IF(O3&gt;0,N21/O3/12,0)</f>
        <v>9.5445708192616729E-3</v>
      </c>
    </row>
    <row r="22" spans="2:15" s="18" customFormat="1" ht="13.8" x14ac:dyDescent="0.3">
      <c r="B22" s="19"/>
      <c r="C22" s="20" t="s">
        <v>61</v>
      </c>
      <c r="D22" s="32" t="s">
        <v>62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2:15" s="18" customFormat="1" ht="13.8" x14ac:dyDescent="0.3">
      <c r="B23" s="19"/>
      <c r="C23" s="20" t="s">
        <v>63</v>
      </c>
      <c r="D23" s="34" t="s">
        <v>64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2:15" ht="27.6" x14ac:dyDescent="0.3">
      <c r="B24" s="21">
        <v>10</v>
      </c>
      <c r="C24" s="22" t="s">
        <v>65</v>
      </c>
      <c r="D24" s="23" t="s">
        <v>66</v>
      </c>
      <c r="E24" s="23" t="s">
        <v>67</v>
      </c>
      <c r="F24" s="24">
        <v>1</v>
      </c>
      <c r="G24" s="25">
        <v>1</v>
      </c>
      <c r="H24" s="26">
        <f>F24 * G24 * 12468.920256</f>
        <v>12468.920255999999</v>
      </c>
      <c r="I24" s="26">
        <f>F24 * G24 * 4802.857282</f>
        <v>4802.8572819999999</v>
      </c>
      <c r="J24" s="26">
        <f>F24 * G24 * 0</f>
        <v>0</v>
      </c>
      <c r="K24" s="26">
        <f>F24 * G24 * 11872.905867</f>
        <v>11872.905866999999</v>
      </c>
      <c r="L24" s="26">
        <f>F24 * G24 * 3337.858316</f>
        <v>3337.8583159999998</v>
      </c>
      <c r="M24" s="26">
        <f>F24 * G24 * 2493.784051</f>
        <v>2493.7840510000001</v>
      </c>
      <c r="N24" s="27">
        <f>SUM(H24:M24)</f>
        <v>34976.325771999997</v>
      </c>
      <c r="O24" s="28">
        <f>IF(O3&gt;0,N24/O3/12,0)</f>
        <v>0.30857361702503072</v>
      </c>
    </row>
    <row r="25" spans="2:15" s="18" customFormat="1" ht="13.8" x14ac:dyDescent="0.3">
      <c r="B25" s="19"/>
      <c r="C25" s="20" t="s">
        <v>68</v>
      </c>
      <c r="D25" s="32" t="s">
        <v>69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ht="27.6" x14ac:dyDescent="0.3">
      <c r="B26" s="21">
        <v>11</v>
      </c>
      <c r="C26" s="22" t="s">
        <v>70</v>
      </c>
      <c r="D26" s="23" t="s">
        <v>71</v>
      </c>
      <c r="E26" s="23" t="s">
        <v>72</v>
      </c>
      <c r="F26" s="24">
        <v>0.16</v>
      </c>
      <c r="G26" s="25">
        <v>1</v>
      </c>
      <c r="H26" s="26">
        <f>F26 * G26 * 47957.3856</f>
        <v>7673.1816960000006</v>
      </c>
      <c r="I26" s="26">
        <f>F26 * G26 * 24446.137819</f>
        <v>3911.3820510400001</v>
      </c>
      <c r="J26" s="26">
        <f>F26 * G26 * 0</f>
        <v>0</v>
      </c>
      <c r="K26" s="26">
        <f>F26 * G26 * 45665.022568</f>
        <v>7306.4036108800001</v>
      </c>
      <c r="L26" s="26">
        <f>F26 * G26 * 13468.132438</f>
        <v>2154.9011900800001</v>
      </c>
      <c r="M26" s="26">
        <f>F26 * G26 * 9591.47712</f>
        <v>1534.6363392000001</v>
      </c>
      <c r="N26" s="27">
        <f>SUM(H26:M26)</f>
        <v>22580.504887199997</v>
      </c>
      <c r="O26" s="28">
        <f>IF(O3&gt;0,N26/O3/12,0)</f>
        <v>0.19921326535884051</v>
      </c>
    </row>
    <row r="27" spans="2:15" x14ac:dyDescent="0.3">
      <c r="B27" s="21">
        <v>12</v>
      </c>
      <c r="C27" s="22" t="s">
        <v>73</v>
      </c>
      <c r="D27" s="23" t="s">
        <v>74</v>
      </c>
      <c r="E27" s="23" t="s">
        <v>75</v>
      </c>
      <c r="F27" s="24">
        <v>0.16</v>
      </c>
      <c r="G27" s="25">
        <v>1</v>
      </c>
      <c r="H27" s="26">
        <f>F27 * G27 * 7188.859584</f>
        <v>1150.2175334399999</v>
      </c>
      <c r="I27" s="26">
        <f>F27 * G27 * 152.872576</f>
        <v>24.459612160000002</v>
      </c>
      <c r="J27" s="26">
        <f>F27 * G27 * 0</f>
        <v>0</v>
      </c>
      <c r="K27" s="26">
        <f>F27 * G27 * 6845.232096</f>
        <v>1095.2371353599999</v>
      </c>
      <c r="L27" s="26">
        <f>F27 * G27 * 1648.409666</f>
        <v>263.74554655999998</v>
      </c>
      <c r="M27" s="26">
        <f>F27 * G27 * 1437.771917</f>
        <v>230.04350672000001</v>
      </c>
      <c r="N27" s="27">
        <f>SUM(H27:M27)</f>
        <v>2763.70333424</v>
      </c>
      <c r="O27" s="28">
        <f>IF(O3&gt;0,N27/O3/12,0)</f>
        <v>2.4382376233277225E-2</v>
      </c>
    </row>
    <row r="28" spans="2:15" x14ac:dyDescent="0.3">
      <c r="B28" s="21">
        <v>13</v>
      </c>
      <c r="C28" s="22" t="s">
        <v>76</v>
      </c>
      <c r="D28" s="23" t="s">
        <v>77</v>
      </c>
      <c r="E28" s="23" t="s">
        <v>78</v>
      </c>
      <c r="F28" s="24">
        <v>0.1</v>
      </c>
      <c r="G28" s="25">
        <v>1</v>
      </c>
      <c r="H28" s="26">
        <f>F28 * G28 * 4717.689102</f>
        <v>471.76891020000005</v>
      </c>
      <c r="I28" s="26">
        <f>F28 * G28 * 152.872576</f>
        <v>15.287257600000002</v>
      </c>
      <c r="J28" s="26">
        <f>F28 * G28 * 0</f>
        <v>0</v>
      </c>
      <c r="K28" s="26">
        <f>F28 * G28 * 4492.183563</f>
        <v>449.21835629999998</v>
      </c>
      <c r="L28" s="26">
        <f>F28 * G28 * 1087.31286299999</f>
        <v>108.73128629999901</v>
      </c>
      <c r="M28" s="26">
        <f>F28 * G28 * 943.53782</f>
        <v>94.35378200000001</v>
      </c>
      <c r="N28" s="27">
        <f>SUM(H28:M28)</f>
        <v>1139.359592399999</v>
      </c>
      <c r="O28" s="28">
        <f>IF(O3&gt;0,N28/O3/12,0)</f>
        <v>1.005183657113818E-2</v>
      </c>
    </row>
    <row r="29" spans="2:15" s="15" customFormat="1" ht="14.4" x14ac:dyDescent="0.3">
      <c r="B29" s="16"/>
      <c r="C29" s="17" t="s">
        <v>79</v>
      </c>
      <c r="D29" s="33" t="s">
        <v>80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2:15" s="18" customFormat="1" ht="13.8" x14ac:dyDescent="0.3">
      <c r="B30" s="19"/>
      <c r="C30" s="20" t="s">
        <v>81</v>
      </c>
      <c r="D30" s="32" t="s">
        <v>82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15" x14ac:dyDescent="0.3">
      <c r="B31" s="21">
        <v>14</v>
      </c>
      <c r="C31" s="22" t="s">
        <v>83</v>
      </c>
      <c r="D31" s="23" t="s">
        <v>84</v>
      </c>
      <c r="E31" s="23" t="s">
        <v>85</v>
      </c>
      <c r="F31" s="24">
        <v>0.1</v>
      </c>
      <c r="G31" s="25">
        <v>1</v>
      </c>
      <c r="H31" s="26">
        <f>F31 * G31 * 274532.29128</f>
        <v>27453.229128000003</v>
      </c>
      <c r="I31" s="26">
        <f>F31 * G31 * 62863.212832</f>
        <v>6286.3212831999999</v>
      </c>
      <c r="J31" s="26">
        <f>F31 * G31 * 0</f>
        <v>0</v>
      </c>
      <c r="K31" s="26">
        <f>F31 * G31 * 261409.647757</f>
        <v>26140.964775700002</v>
      </c>
      <c r="L31" s="26">
        <f>F31 * G31 * 68966.574869</f>
        <v>6896.6574869000005</v>
      </c>
      <c r="M31" s="26">
        <f>F31 * G31 * 54906.458256</f>
        <v>5490.6458256000005</v>
      </c>
      <c r="N31" s="27">
        <f>SUM(H31:M31)</f>
        <v>72267.818499400018</v>
      </c>
      <c r="O31" s="28">
        <f>IF(O3&gt;0,N31/O3/12,0)</f>
        <v>0.63757246242029009</v>
      </c>
    </row>
    <row r="32" spans="2:15" s="15" customFormat="1" ht="14.4" x14ac:dyDescent="0.3">
      <c r="B32" s="16"/>
      <c r="C32" s="17" t="s">
        <v>86</v>
      </c>
      <c r="D32" s="33" t="s">
        <v>87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2:15" s="18" customFormat="1" ht="13.8" x14ac:dyDescent="0.3">
      <c r="B33" s="19"/>
      <c r="C33" s="20" t="s">
        <v>88</v>
      </c>
      <c r="D33" s="32" t="s">
        <v>89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2:15" s="18" customFormat="1" ht="13.8" x14ac:dyDescent="0.3">
      <c r="B34" s="19"/>
      <c r="C34" s="20" t="s">
        <v>90</v>
      </c>
      <c r="D34" s="34" t="s">
        <v>91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2:15" x14ac:dyDescent="0.3">
      <c r="B35" s="21">
        <v>15</v>
      </c>
      <c r="C35" s="22" t="s">
        <v>92</v>
      </c>
      <c r="D35" s="23" t="s">
        <v>93</v>
      </c>
      <c r="E35" s="23" t="s">
        <v>94</v>
      </c>
      <c r="F35" s="24">
        <v>0.05</v>
      </c>
      <c r="G35" s="25">
        <v>1</v>
      </c>
      <c r="H35" s="26">
        <f>F35 * G35 * 5020.969116</f>
        <v>251.04845580000003</v>
      </c>
      <c r="I35" s="26">
        <f>F35 * G35 * 49643.360558</f>
        <v>2482.1680279000002</v>
      </c>
      <c r="J35" s="26">
        <f>F35 * G35 * 138.902445</f>
        <v>6.9451222500000007</v>
      </c>
      <c r="K35" s="26">
        <f>F35 * G35 * 4856.55397</f>
        <v>242.8276985</v>
      </c>
      <c r="L35" s="26">
        <f>F35 * G35 * 6401.724833</f>
        <v>320.08624165000003</v>
      </c>
      <c r="M35" s="26">
        <f>F35 * G35 * 1020.070147</f>
        <v>51.003507350000007</v>
      </c>
      <c r="N35" s="27">
        <f>SUM(H35:M35)</f>
        <v>3354.0790534500002</v>
      </c>
      <c r="O35" s="28">
        <f>IF(O3&gt;0,N35/O3/12,0)</f>
        <v>2.9590881330923066E-2</v>
      </c>
    </row>
    <row r="36" spans="2:15" s="18" customFormat="1" ht="13.8" x14ac:dyDescent="0.3">
      <c r="B36" s="19"/>
      <c r="C36" s="20" t="s">
        <v>95</v>
      </c>
      <c r="D36" s="32" t="s">
        <v>96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2:15" s="18" customFormat="1" ht="13.8" x14ac:dyDescent="0.3">
      <c r="B37" s="19"/>
      <c r="C37" s="20" t="s">
        <v>97</v>
      </c>
      <c r="D37" s="34" t="s">
        <v>98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2:15" ht="27.6" x14ac:dyDescent="0.3">
      <c r="B38" s="21">
        <v>16</v>
      </c>
      <c r="C38" s="22" t="s">
        <v>99</v>
      </c>
      <c r="D38" s="23" t="s">
        <v>100</v>
      </c>
      <c r="E38" s="23" t="s">
        <v>101</v>
      </c>
      <c r="F38" s="24">
        <v>0.15</v>
      </c>
      <c r="G38" s="25">
        <v>1</v>
      </c>
      <c r="H38" s="26">
        <f>F38 * G38 * 9669.01614</f>
        <v>1450.3524209999998</v>
      </c>
      <c r="I38" s="26">
        <f>F38 * G38 * 98148.290782</f>
        <v>14722.243617299999</v>
      </c>
      <c r="J38" s="26">
        <f>F38 * G38 * 264.389913</f>
        <v>39.658486949999997</v>
      </c>
      <c r="K38" s="26">
        <f>F38 * G38 * 9342.89409</f>
        <v>1401.4341135</v>
      </c>
      <c r="L38" s="26">
        <f>F38 * G38 * 12595.325497</f>
        <v>1889.2988245499998</v>
      </c>
      <c r="M38" s="26">
        <f>F38 * G38 * 1962.380611</f>
        <v>294.35709164999997</v>
      </c>
      <c r="N38" s="27">
        <f>SUM(H38:M38)</f>
        <v>19797.344554949996</v>
      </c>
      <c r="O38" s="28">
        <f>IF(O3&gt;0,N38/O3/12,0)</f>
        <v>0.17465923255158425</v>
      </c>
    </row>
    <row r="39" spans="2:15" s="18" customFormat="1" ht="13.8" x14ac:dyDescent="0.3">
      <c r="B39" s="19"/>
      <c r="C39" s="20" t="s">
        <v>102</v>
      </c>
      <c r="D39" s="32" t="s">
        <v>103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2:15" ht="27.6" x14ac:dyDescent="0.3">
      <c r="B40" s="21">
        <v>17</v>
      </c>
      <c r="C40" s="22" t="s">
        <v>104</v>
      </c>
      <c r="D40" s="23" t="s">
        <v>105</v>
      </c>
      <c r="E40" s="23" t="s">
        <v>67</v>
      </c>
      <c r="F40" s="24">
        <v>0.16</v>
      </c>
      <c r="G40" s="25">
        <v>0.2</v>
      </c>
      <c r="H40" s="26">
        <f>F40 * G40 * 4009.492853</f>
        <v>128.30377129600001</v>
      </c>
      <c r="I40" s="26">
        <f>F40 * G40 * 1986.118472</f>
        <v>63.555791104000008</v>
      </c>
      <c r="J40" s="26">
        <f>F40 * G40 * 0.7614</f>
        <v>2.4364799999999999E-2</v>
      </c>
      <c r="K40" s="26">
        <f>F40 * G40 * 3817.839094</f>
        <v>122.170851008</v>
      </c>
      <c r="L40" s="26">
        <f>F40 * G40 * 1119.999646</f>
        <v>35.839988671999997</v>
      </c>
      <c r="M40" s="26">
        <f>F40 * G40 * 801.898571</f>
        <v>25.660754271999998</v>
      </c>
      <c r="N40" s="27">
        <f>SUM(H40:M40)</f>
        <v>375.55552115200004</v>
      </c>
      <c r="O40" s="28">
        <f>IF(O3&gt;0,N40/O3/12,0)</f>
        <v>3.3132847146673441E-3</v>
      </c>
    </row>
    <row r="41" spans="2:15" s="18" customFormat="1" ht="13.8" x14ac:dyDescent="0.3">
      <c r="B41" s="19"/>
      <c r="C41" s="20" t="s">
        <v>106</v>
      </c>
      <c r="D41" s="32" t="s">
        <v>107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2:15" x14ac:dyDescent="0.3">
      <c r="B42" s="21">
        <v>18</v>
      </c>
      <c r="C42" s="22" t="s">
        <v>108</v>
      </c>
      <c r="D42" s="23" t="s">
        <v>109</v>
      </c>
      <c r="E42" s="23" t="s">
        <v>110</v>
      </c>
      <c r="F42" s="24">
        <v>0.1</v>
      </c>
      <c r="G42" s="25">
        <v>0.5</v>
      </c>
      <c r="H42" s="26">
        <f>F42 * G42 * 20142.101952</f>
        <v>1007.1050976000001</v>
      </c>
      <c r="I42" s="26">
        <f>F42 * G42 * 2458.122278</f>
        <v>122.90611389999999</v>
      </c>
      <c r="J42" s="26">
        <f>F42 * G42 * 0</f>
        <v>0</v>
      </c>
      <c r="K42" s="26">
        <f>F42 * G42 * 19179.309479</f>
        <v>958.96547395000005</v>
      </c>
      <c r="L42" s="26">
        <f>F42 * G42 * 4832.739157</f>
        <v>241.63695785000002</v>
      </c>
      <c r="M42" s="26">
        <f>F42 * G42 * 4028.42039</f>
        <v>201.42101950000003</v>
      </c>
      <c r="N42" s="27">
        <f>SUM(H42:M42)</f>
        <v>2532.0346628000002</v>
      </c>
      <c r="O42" s="28">
        <f>IF(O3&gt;0,N42/O3/12,0)</f>
        <v>2.2338512610676462E-2</v>
      </c>
    </row>
    <row r="43" spans="2:15" s="15" customFormat="1" ht="14.4" x14ac:dyDescent="0.3">
      <c r="B43" s="16"/>
      <c r="C43" s="17" t="s">
        <v>111</v>
      </c>
      <c r="D43" s="33" t="s">
        <v>112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2:15" s="18" customFormat="1" ht="13.8" x14ac:dyDescent="0.3">
      <c r="B44" s="19"/>
      <c r="C44" s="20" t="s">
        <v>113</v>
      </c>
      <c r="D44" s="32" t="s">
        <v>114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2:15" ht="41.4" x14ac:dyDescent="0.3">
      <c r="B45" s="21">
        <v>19</v>
      </c>
      <c r="C45" s="22" t="s">
        <v>115</v>
      </c>
      <c r="D45" s="23" t="s">
        <v>116</v>
      </c>
      <c r="E45" s="23" t="s">
        <v>117</v>
      </c>
      <c r="F45" s="24">
        <v>0.02</v>
      </c>
      <c r="G45" s="25">
        <v>1</v>
      </c>
      <c r="H45" s="26">
        <f>F45 * G45 * 17363.580816</f>
        <v>347.27161632000002</v>
      </c>
      <c r="I45" s="26">
        <f>F45 * G45 * 11869.673348</f>
        <v>237.39346696000001</v>
      </c>
      <c r="J45" s="26">
        <f t="shared" ref="J45:J51" si="0">F45 * G45 * 0</f>
        <v>0</v>
      </c>
      <c r="K45" s="26">
        <f>F45 * G45 * 16533.601653</f>
        <v>330.67203306000005</v>
      </c>
      <c r="L45" s="26">
        <f>F45 * G45 * 5194.774844</f>
        <v>103.89549688</v>
      </c>
      <c r="M45" s="26">
        <f>F45 * G45 * 3472.716163</f>
        <v>69.45432326000001</v>
      </c>
      <c r="N45" s="27">
        <f t="shared" ref="N45:N54" si="1">SUM(H45:M45)</f>
        <v>1088.6869364800002</v>
      </c>
      <c r="O45" s="28">
        <f>IF(O3&gt;0,N45/O3/12,0)</f>
        <v>9.6047843329063326E-3</v>
      </c>
    </row>
    <row r="46" spans="2:15" ht="27.6" x14ac:dyDescent="0.3">
      <c r="B46" s="21">
        <v>20</v>
      </c>
      <c r="C46" s="22" t="s">
        <v>118</v>
      </c>
      <c r="D46" s="23" t="s">
        <v>119</v>
      </c>
      <c r="E46" s="23" t="s">
        <v>120</v>
      </c>
      <c r="F46" s="24">
        <v>0.2</v>
      </c>
      <c r="G46" s="25">
        <v>1</v>
      </c>
      <c r="H46" s="26">
        <f>F46 * G46 * 1430.530826</f>
        <v>286.10616520000002</v>
      </c>
      <c r="I46" s="26">
        <f>F46 * G46 * 309.992824</f>
        <v>61.998564799999997</v>
      </c>
      <c r="J46" s="26">
        <f t="shared" si="0"/>
        <v>0</v>
      </c>
      <c r="K46" s="26">
        <f>F46 * G46 * 1362.151453</f>
        <v>272.43029059999998</v>
      </c>
      <c r="L46" s="26">
        <f>F46 * G46 * 357.516423</f>
        <v>71.503284600000001</v>
      </c>
      <c r="M46" s="26">
        <f>F46 * G46 * 286.106165</f>
        <v>57.221232999999998</v>
      </c>
      <c r="N46" s="27">
        <f t="shared" si="1"/>
        <v>749.25953820000007</v>
      </c>
      <c r="O46" s="28">
        <f>IF(O3&gt;0,N46/O3/12,0)</f>
        <v>6.610234799961888E-3</v>
      </c>
    </row>
    <row r="47" spans="2:15" ht="27.6" x14ac:dyDescent="0.3">
      <c r="B47" s="21">
        <v>21</v>
      </c>
      <c r="C47" s="22" t="s">
        <v>121</v>
      </c>
      <c r="D47" s="23" t="s">
        <v>122</v>
      </c>
      <c r="E47" s="23" t="s">
        <v>123</v>
      </c>
      <c r="F47" s="24">
        <v>3</v>
      </c>
      <c r="G47" s="25">
        <v>1</v>
      </c>
      <c r="H47" s="26">
        <f>F47 * G47 * 42.235737</f>
        <v>126.707211</v>
      </c>
      <c r="I47" s="26">
        <f>F47 * G47 * 95.662008</f>
        <v>286.98602399999999</v>
      </c>
      <c r="J47" s="26">
        <f t="shared" si="0"/>
        <v>0</v>
      </c>
      <c r="K47" s="26">
        <f>F47 * G47 * 40.216869</f>
        <v>120.65060700000001</v>
      </c>
      <c r="L47" s="26">
        <f>F47 * G47 * 19.682266</f>
        <v>59.046797999999995</v>
      </c>
      <c r="M47" s="26">
        <f>F47 * G47 * 8.447147</f>
        <v>25.341440999999996</v>
      </c>
      <c r="N47" s="27">
        <f t="shared" si="1"/>
        <v>618.73208099999999</v>
      </c>
      <c r="O47" s="28">
        <f>IF(O3&gt;0,N47/O3/12,0)</f>
        <v>5.4586750320251539E-3</v>
      </c>
    </row>
    <row r="48" spans="2:15" x14ac:dyDescent="0.3">
      <c r="B48" s="21">
        <v>22</v>
      </c>
      <c r="C48" s="22" t="s">
        <v>124</v>
      </c>
      <c r="D48" s="23" t="s">
        <v>125</v>
      </c>
      <c r="E48" s="23" t="s">
        <v>123</v>
      </c>
      <c r="F48" s="24">
        <v>6</v>
      </c>
      <c r="G48" s="25">
        <v>1</v>
      </c>
      <c r="H48" s="26">
        <f>F48 * G48 * 14.078579</f>
        <v>84.471474000000001</v>
      </c>
      <c r="I48" s="26">
        <f>F48 * G48 * 0.9775</f>
        <v>5.8650000000000002</v>
      </c>
      <c r="J48" s="26">
        <f t="shared" si="0"/>
        <v>0</v>
      </c>
      <c r="K48" s="26">
        <f>F48 * G48 * 13.4056229999999</f>
        <v>80.433737999999408</v>
      </c>
      <c r="L48" s="26">
        <f>F48 * G48 * 3.299767</f>
        <v>19.798602000000002</v>
      </c>
      <c r="M48" s="26">
        <f>F48 * G48 * 2.815716</f>
        <v>16.894296000000001</v>
      </c>
      <c r="N48" s="27">
        <f t="shared" si="1"/>
        <v>207.4631099999994</v>
      </c>
      <c r="O48" s="28">
        <f>IF(O3&gt;0,N48/O3/12,0)</f>
        <v>1.830313528907328E-3</v>
      </c>
    </row>
    <row r="49" spans="2:15" x14ac:dyDescent="0.3">
      <c r="B49" s="21">
        <v>23</v>
      </c>
      <c r="C49" s="22" t="s">
        <v>126</v>
      </c>
      <c r="D49" s="23" t="s">
        <v>127</v>
      </c>
      <c r="E49" s="23" t="s">
        <v>128</v>
      </c>
      <c r="F49" s="24"/>
      <c r="G49" s="25">
        <v>1</v>
      </c>
      <c r="H49" s="26">
        <f>F49 * G49 * 124.509165</f>
        <v>0</v>
      </c>
      <c r="I49" s="26">
        <f>F49 * G49 * 79.691038</f>
        <v>0</v>
      </c>
      <c r="J49" s="26">
        <f t="shared" si="0"/>
        <v>0</v>
      </c>
      <c r="K49" s="26">
        <f>F49 * G49 * 118.557627</f>
        <v>0</v>
      </c>
      <c r="L49" s="26">
        <f>F49 * G49 * 36.678094</f>
        <v>0</v>
      </c>
      <c r="M49" s="26">
        <f>F49 * G49 * 24.901833</f>
        <v>0</v>
      </c>
      <c r="N49" s="27">
        <f t="shared" si="1"/>
        <v>0</v>
      </c>
      <c r="O49" s="28">
        <f>IF(O3&gt;0,N49/O3/12,0)</f>
        <v>0</v>
      </c>
    </row>
    <row r="50" spans="2:15" x14ac:dyDescent="0.3">
      <c r="B50" s="21">
        <v>24</v>
      </c>
      <c r="C50" s="22" t="s">
        <v>129</v>
      </c>
      <c r="D50" s="23" t="s">
        <v>130</v>
      </c>
      <c r="E50" s="23" t="s">
        <v>131</v>
      </c>
      <c r="F50" s="24"/>
      <c r="G50" s="25">
        <v>1</v>
      </c>
      <c r="H50" s="26">
        <f>F50 * G50 * 35.196448</f>
        <v>0</v>
      </c>
      <c r="I50" s="26">
        <f>F50 * G50 * 96.759276</f>
        <v>0</v>
      </c>
      <c r="J50" s="26">
        <f t="shared" si="0"/>
        <v>0</v>
      </c>
      <c r="K50" s="26">
        <f>F50 * G50 * 33.514058</f>
        <v>0</v>
      </c>
      <c r="L50" s="26">
        <f>F50 * G50 * 18.199707</f>
        <v>0</v>
      </c>
      <c r="M50" s="26">
        <f>F50 * G50 * 7.03929</f>
        <v>0</v>
      </c>
      <c r="N50" s="27">
        <f t="shared" si="1"/>
        <v>0</v>
      </c>
      <c r="O50" s="28">
        <f>IF(O3&gt;0,N50/O3/12,0)</f>
        <v>0</v>
      </c>
    </row>
    <row r="51" spans="2:15" x14ac:dyDescent="0.3">
      <c r="B51" s="21">
        <v>25</v>
      </c>
      <c r="C51" s="22" t="s">
        <v>132</v>
      </c>
      <c r="D51" s="23" t="s">
        <v>133</v>
      </c>
      <c r="E51" s="23" t="s">
        <v>85</v>
      </c>
      <c r="F51" s="24"/>
      <c r="G51" s="25">
        <v>0.2</v>
      </c>
      <c r="H51" s="26">
        <f>F51 * G51 * 16785.08496</f>
        <v>0</v>
      </c>
      <c r="I51" s="26">
        <f>F51 * G51 * 2798.124701</f>
        <v>0</v>
      </c>
      <c r="J51" s="26">
        <f t="shared" si="0"/>
        <v>0</v>
      </c>
      <c r="K51" s="26">
        <f>F51 * G51 * 15982.757899</f>
        <v>0</v>
      </c>
      <c r="L51" s="26">
        <f>F51 * G51 * 4106.37487</f>
        <v>0</v>
      </c>
      <c r="M51" s="26">
        <f>F51 * G51 * 3357.016992</f>
        <v>0</v>
      </c>
      <c r="N51" s="27">
        <f t="shared" si="1"/>
        <v>0</v>
      </c>
      <c r="O51" s="28">
        <f>IF(O3&gt;0,N51/O3/12,0)</f>
        <v>0</v>
      </c>
    </row>
    <row r="52" spans="2:15" x14ac:dyDescent="0.3">
      <c r="B52" s="21">
        <v>26</v>
      </c>
      <c r="C52" s="22" t="s">
        <v>134</v>
      </c>
      <c r="D52" s="23" t="s">
        <v>135</v>
      </c>
      <c r="E52" s="23" t="s">
        <v>136</v>
      </c>
      <c r="F52" s="24">
        <v>1</v>
      </c>
      <c r="G52" s="25">
        <v>1</v>
      </c>
      <c r="H52" s="26">
        <f>F52 * G52 * 302.969596</f>
        <v>302.96959600000002</v>
      </c>
      <c r="I52" s="26">
        <f>F52 * G52 * 2443.366547</f>
        <v>2443.3665470000001</v>
      </c>
      <c r="J52" s="26">
        <f>F52 * G52 * 7.327098</f>
        <v>7.3270980000000003</v>
      </c>
      <c r="K52" s="26">
        <f>F52 * G52 * 288.487649</f>
        <v>288.48764899999998</v>
      </c>
      <c r="L52" s="26">
        <f>F52 * G52 * 327.339577</f>
        <v>327.33957700000002</v>
      </c>
      <c r="M52" s="26">
        <f>F52 * G52 * 60.593919</f>
        <v>60.593919</v>
      </c>
      <c r="N52" s="27">
        <f t="shared" si="1"/>
        <v>3430.0843860000004</v>
      </c>
      <c r="O52" s="28">
        <f>IF(O3&gt;0,N52/O3/12,0)</f>
        <v>3.0261427474935685E-2</v>
      </c>
    </row>
    <row r="53" spans="2:15" x14ac:dyDescent="0.3">
      <c r="B53" s="21">
        <v>27</v>
      </c>
      <c r="C53" s="22" t="s">
        <v>137</v>
      </c>
      <c r="D53" s="23" t="s">
        <v>138</v>
      </c>
      <c r="E53" s="23" t="s">
        <v>139</v>
      </c>
      <c r="F53" s="24">
        <v>1</v>
      </c>
      <c r="G53" s="25">
        <v>1</v>
      </c>
      <c r="H53" s="26">
        <f>F53 * G53 * 73.695307</f>
        <v>73.695307</v>
      </c>
      <c r="I53" s="26">
        <f>F53 * G53 * 1812.0944</f>
        <v>1812.0944</v>
      </c>
      <c r="J53" s="26">
        <f>F53 * G53 * 1.2393</f>
        <v>1.2393000000000001</v>
      </c>
      <c r="K53" s="26">
        <f>F53 * G53 * 70.172672</f>
        <v>70.172672000000006</v>
      </c>
      <c r="L53" s="26">
        <f>F53 * G53 * 208.039748</f>
        <v>208.039748</v>
      </c>
      <c r="M53" s="26">
        <f>F53 * G53 * 14.739061</f>
        <v>14.739061</v>
      </c>
      <c r="N53" s="27">
        <f t="shared" si="1"/>
        <v>2179.9804880000002</v>
      </c>
      <c r="O53" s="28">
        <f>IF(O3&gt;0,N53/O3/12,0)</f>
        <v>1.9232565153103176E-2</v>
      </c>
    </row>
    <row r="54" spans="2:15" ht="27.6" x14ac:dyDescent="0.3">
      <c r="B54" s="21">
        <v>28</v>
      </c>
      <c r="C54" s="22" t="s">
        <v>140</v>
      </c>
      <c r="D54" s="23" t="s">
        <v>141</v>
      </c>
      <c r="E54" s="23" t="s">
        <v>142</v>
      </c>
      <c r="F54" s="24">
        <v>15</v>
      </c>
      <c r="G54" s="25">
        <v>0.5</v>
      </c>
      <c r="H54" s="26">
        <f>F54 * G54 * 551.506769</f>
        <v>4136.3007674999999</v>
      </c>
      <c r="I54" s="26">
        <f>F54 * G54 * 1421.116365</f>
        <v>10658.3727375</v>
      </c>
      <c r="J54" s="26">
        <f>F54 * G54 * 0</f>
        <v>0</v>
      </c>
      <c r="K54" s="26">
        <f>F54 * G54 * 525.144745999999</f>
        <v>3938.5855949999927</v>
      </c>
      <c r="L54" s="26">
        <f>F54 * G54 * 275.151304</f>
        <v>2063.6347799999999</v>
      </c>
      <c r="M54" s="26">
        <f>F54 * G54 * 110.301354</f>
        <v>827.26015500000005</v>
      </c>
      <c r="N54" s="27">
        <f t="shared" si="1"/>
        <v>21624.154034999992</v>
      </c>
      <c r="O54" s="28">
        <f>IF(O3&gt;0,N54/O3/12,0)</f>
        <v>0.19077599714684981</v>
      </c>
    </row>
    <row r="55" spans="2:15" s="18" customFormat="1" ht="13.8" x14ac:dyDescent="0.3">
      <c r="B55" s="19"/>
      <c r="C55" s="20" t="s">
        <v>143</v>
      </c>
      <c r="D55" s="32" t="s">
        <v>144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2:15" ht="27.6" x14ac:dyDescent="0.3">
      <c r="B56" s="21">
        <v>29</v>
      </c>
      <c r="C56" s="22" t="s">
        <v>145</v>
      </c>
      <c r="D56" s="23" t="s">
        <v>146</v>
      </c>
      <c r="E56" s="23" t="s">
        <v>147</v>
      </c>
      <c r="F56" s="24">
        <v>0.04</v>
      </c>
      <c r="G56" s="25">
        <v>0.2</v>
      </c>
      <c r="H56" s="26">
        <f>F56 * G56 * 44399.511048</f>
        <v>355.19608838400001</v>
      </c>
      <c r="I56" s="26">
        <f>F56 * G56 * 611450.234855</f>
        <v>4891.6018788400006</v>
      </c>
      <c r="J56" s="26">
        <f>F56 * G56 * 3036.976173</f>
        <v>24.295809384000002</v>
      </c>
      <c r="K56" s="26">
        <f>F56 * G56 * 44506.381735</f>
        <v>356.05105388000004</v>
      </c>
      <c r="L56" s="26">
        <f>F56 * G56 * 75194.198723</f>
        <v>601.553589784</v>
      </c>
      <c r="M56" s="26">
        <f>F56 * G56 * 9348.116306</f>
        <v>74.784930447999997</v>
      </c>
      <c r="N56" s="27">
        <f>SUM(H56:M56)</f>
        <v>6303.4833507200001</v>
      </c>
      <c r="O56" s="28">
        <f>IF(O3&gt;0,N56/O3/12,0)</f>
        <v>5.5611577673085812E-2</v>
      </c>
    </row>
    <row r="57" spans="2:15" s="15" customFormat="1" ht="14.4" x14ac:dyDescent="0.3">
      <c r="B57" s="16"/>
      <c r="C57" s="17" t="s">
        <v>148</v>
      </c>
      <c r="D57" s="33" t="s">
        <v>149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 s="18" customFormat="1" ht="13.8" x14ac:dyDescent="0.3">
      <c r="B58" s="19"/>
      <c r="C58" s="20" t="s">
        <v>150</v>
      </c>
      <c r="D58" s="32" t="s">
        <v>151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2:15" ht="27.6" x14ac:dyDescent="0.3">
      <c r="B59" s="21">
        <v>30</v>
      </c>
      <c r="C59" s="22" t="s">
        <v>152</v>
      </c>
      <c r="D59" s="23" t="s">
        <v>153</v>
      </c>
      <c r="E59" s="23" t="s">
        <v>154</v>
      </c>
      <c r="F59" s="24">
        <v>0.05</v>
      </c>
      <c r="G59" s="25">
        <v>1</v>
      </c>
      <c r="H59" s="26">
        <f>F59 * G59 * 5162.145648</f>
        <v>258.10728239999997</v>
      </c>
      <c r="I59" s="26">
        <f>F59 * G59 * 3948.832088</f>
        <v>197.44160440000002</v>
      </c>
      <c r="J59" s="26">
        <f>F59 * G59 * 0</f>
        <v>0</v>
      </c>
      <c r="K59" s="26">
        <f>F59 * G59 * 4915.395086</f>
        <v>245.76975430000005</v>
      </c>
      <c r="L59" s="26">
        <f>F59 * G59 * 1588.703606</f>
        <v>79.435180300000013</v>
      </c>
      <c r="M59" s="26">
        <f>F59 * G59 * 1032.42913</f>
        <v>51.621456500000001</v>
      </c>
      <c r="N59" s="27">
        <f>SUM(H59:M59)</f>
        <v>832.37527790000013</v>
      </c>
      <c r="O59" s="28">
        <f>IF(O3&gt;0,N59/O3/12,0)</f>
        <v>7.3435114911194165E-3</v>
      </c>
    </row>
    <row r="60" spans="2:15" s="18" customFormat="1" ht="13.8" x14ac:dyDescent="0.3">
      <c r="B60" s="19"/>
      <c r="C60" s="20" t="s">
        <v>155</v>
      </c>
      <c r="D60" s="32" t="s">
        <v>156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2:15" s="18" customFormat="1" ht="13.8" x14ac:dyDescent="0.3">
      <c r="B61" s="19"/>
      <c r="C61" s="20" t="s">
        <v>157</v>
      </c>
      <c r="D61" s="34" t="s">
        <v>158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2:15" x14ac:dyDescent="0.3">
      <c r="B62" s="21">
        <v>31</v>
      </c>
      <c r="C62" s="22" t="s">
        <v>159</v>
      </c>
      <c r="D62" s="23" t="s">
        <v>160</v>
      </c>
      <c r="E62" s="23" t="s">
        <v>161</v>
      </c>
      <c r="F62" s="24">
        <v>0.05</v>
      </c>
      <c r="G62" s="25">
        <v>1</v>
      </c>
      <c r="H62" s="26">
        <f>F62 * G62 * 12201.435168</f>
        <v>610.07175840000002</v>
      </c>
      <c r="I62" s="26">
        <f>F62 * G62 * 46932.0431749999</f>
        <v>2346.6021587499999</v>
      </c>
      <c r="J62" s="26">
        <f>F62 * G62 * 0</f>
        <v>0</v>
      </c>
      <c r="K62" s="26">
        <f>F62 * G62 * 11618.206567</f>
        <v>580.91032834999999</v>
      </c>
      <c r="L62" s="26">
        <f>F62 * G62 * 7721.75304</f>
        <v>386.08765199999999</v>
      </c>
      <c r="M62" s="26">
        <f>F62 * G62 * 2440.287034</f>
        <v>122.01435170000001</v>
      </c>
      <c r="N62" s="27">
        <f>SUM(H62:M62)</f>
        <v>4045.6862492</v>
      </c>
      <c r="O62" s="28">
        <f>IF(O3&gt;0,N62/O3/12,0)</f>
        <v>3.5692486609427213E-2</v>
      </c>
    </row>
    <row r="63" spans="2:15" s="18" customFormat="1" ht="13.8" x14ac:dyDescent="0.3">
      <c r="B63" s="19"/>
      <c r="C63" s="20" t="s">
        <v>162</v>
      </c>
      <c r="D63" s="32" t="s">
        <v>163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2:15" ht="27.6" x14ac:dyDescent="0.3">
      <c r="B64" s="21">
        <v>32</v>
      </c>
      <c r="C64" s="22" t="s">
        <v>164</v>
      </c>
      <c r="D64" s="23" t="s">
        <v>165</v>
      </c>
      <c r="E64" s="23" t="s">
        <v>166</v>
      </c>
      <c r="F64" s="24">
        <v>0.16</v>
      </c>
      <c r="G64" s="25">
        <v>0.2</v>
      </c>
      <c r="H64" s="26">
        <f>F64 * G64 * 19560.767035</f>
        <v>625.94454512000004</v>
      </c>
      <c r="I64" s="26">
        <f>F64 * G64 * 1916.323999</f>
        <v>61.322367968000002</v>
      </c>
      <c r="J64" s="26">
        <f>F64 * G64 * 0</f>
        <v>0</v>
      </c>
      <c r="K64" s="26">
        <f>F64 * G64 * 18625.762371</f>
        <v>596.02439587200001</v>
      </c>
      <c r="L64" s="26">
        <f>F64 * G64 * 4643.583219</f>
        <v>148.594663008</v>
      </c>
      <c r="M64" s="26">
        <f>F64 * G64 * 3912.153407</f>
        <v>125.188909024</v>
      </c>
      <c r="N64" s="27">
        <f>SUM(H64:M64)</f>
        <v>1557.0748809920001</v>
      </c>
      <c r="O64" s="28">
        <f>IF(O3&gt;0,N64/O3/12,0)</f>
        <v>1.3737069786534261E-2</v>
      </c>
    </row>
    <row r="65" spans="2:15" s="18" customFormat="1" ht="13.8" x14ac:dyDescent="0.3">
      <c r="B65" s="19"/>
      <c r="C65" s="20" t="s">
        <v>167</v>
      </c>
      <c r="D65" s="32" t="s">
        <v>168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2:15" x14ac:dyDescent="0.3">
      <c r="B66" s="21">
        <v>33</v>
      </c>
      <c r="C66" s="22" t="s">
        <v>169</v>
      </c>
      <c r="D66" s="23" t="s">
        <v>170</v>
      </c>
      <c r="E66" s="23" t="s">
        <v>171</v>
      </c>
      <c r="F66" s="24">
        <v>0.24</v>
      </c>
      <c r="G66" s="25">
        <v>0.2</v>
      </c>
      <c r="H66" s="26">
        <f>F66 * G66 * 2973.357907</f>
        <v>142.72117953599999</v>
      </c>
      <c r="I66" s="26">
        <f>F66 * G66 * 501.604364</f>
        <v>24.077009472</v>
      </c>
      <c r="J66" s="26">
        <f>F66 * G66 * 0</f>
        <v>0</v>
      </c>
      <c r="K66" s="26">
        <f>F66 * G66 * 2831.231399</f>
        <v>135.899107152</v>
      </c>
      <c r="L66" s="26">
        <f>F66 * G66 * 728.041284</f>
        <v>34.945981631999999</v>
      </c>
      <c r="M66" s="26">
        <f>F66 * G66 * 594.671581</f>
        <v>28.544235887999999</v>
      </c>
      <c r="N66" s="27">
        <f>SUM(H66:M66)</f>
        <v>366.18751368</v>
      </c>
      <c r="O66" s="28">
        <f>IF(O3&gt;0,N66/O3/12,0)</f>
        <v>3.2306368125178653E-3</v>
      </c>
    </row>
    <row r="67" spans="2:15" s="15" customFormat="1" ht="14.4" x14ac:dyDescent="0.3">
      <c r="B67" s="16"/>
      <c r="C67" s="17" t="s">
        <v>172</v>
      </c>
      <c r="D67" s="33" t="s">
        <v>173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2:15" s="18" customFormat="1" ht="13.8" x14ac:dyDescent="0.3">
      <c r="B68" s="19"/>
      <c r="C68" s="20" t="s">
        <v>174</v>
      </c>
      <c r="D68" s="32" t="s">
        <v>175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2:15" s="18" customFormat="1" ht="13.8" x14ac:dyDescent="0.3">
      <c r="B69" s="19"/>
      <c r="C69" s="20" t="s">
        <v>176</v>
      </c>
      <c r="D69" s="34" t="s">
        <v>177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2:15" ht="41.4" x14ac:dyDescent="0.3">
      <c r="B70" s="21">
        <v>34</v>
      </c>
      <c r="C70" s="22" t="s">
        <v>178</v>
      </c>
      <c r="D70" s="23" t="s">
        <v>179</v>
      </c>
      <c r="E70" s="23" t="s">
        <v>180</v>
      </c>
      <c r="F70" s="24">
        <v>0.1</v>
      </c>
      <c r="G70" s="25">
        <v>1</v>
      </c>
      <c r="H70" s="26">
        <f>F70 * G70 * 26616.349008</f>
        <v>2661.6349008000002</v>
      </c>
      <c r="I70" s="26">
        <f>F70 * G70 * 34063.516497</f>
        <v>3406.3516497000001</v>
      </c>
      <c r="J70" s="26">
        <f>F70 * G70 * 0</f>
        <v>0</v>
      </c>
      <c r="K70" s="26">
        <f>F70 * G70 * 25344.087525</f>
        <v>2534.4087525</v>
      </c>
      <c r="L70" s="26">
        <f>F70 * G70 * 9637.13200899999</f>
        <v>963.71320089999904</v>
      </c>
      <c r="M70" s="26">
        <f>F70 * G70 * 5323.269802</f>
        <v>532.32698019999998</v>
      </c>
      <c r="N70" s="27">
        <f>SUM(H70:M70)</f>
        <v>10098.435484099999</v>
      </c>
      <c r="O70" s="28">
        <f>IF(O3&gt;0,N70/O3/12,0)</f>
        <v>8.9091998511668435E-2</v>
      </c>
    </row>
    <row r="71" spans="2:15" s="18" customFormat="1" ht="13.8" x14ac:dyDescent="0.3">
      <c r="B71" s="19"/>
      <c r="C71" s="20" t="s">
        <v>181</v>
      </c>
      <c r="D71" s="32" t="s">
        <v>182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  <row r="72" spans="2:15" s="18" customFormat="1" ht="13.8" x14ac:dyDescent="0.3">
      <c r="B72" s="19"/>
      <c r="C72" s="20" t="s">
        <v>183</v>
      </c>
      <c r="D72" s="34" t="s">
        <v>184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2:15" ht="27.6" x14ac:dyDescent="0.3">
      <c r="B73" s="21">
        <v>35</v>
      </c>
      <c r="C73" s="22" t="s">
        <v>185</v>
      </c>
      <c r="D73" s="23" t="s">
        <v>186</v>
      </c>
      <c r="E73" s="23" t="s">
        <v>187</v>
      </c>
      <c r="F73" s="24">
        <v>0.03</v>
      </c>
      <c r="G73" s="25">
        <v>1</v>
      </c>
      <c r="H73" s="26">
        <f>F73 * G73 * 26376.56208</f>
        <v>791.29686240000001</v>
      </c>
      <c r="I73" s="26">
        <f>F73 * G73 * 953367.223</f>
        <v>28601.01669</v>
      </c>
      <c r="J73" s="26">
        <f>F73 * G73 * 0</f>
        <v>0</v>
      </c>
      <c r="K73" s="26">
        <f>F73 * G73 * 25115.7624129999</f>
        <v>753.47287238999695</v>
      </c>
      <c r="L73" s="26">
        <f>F73 * G73 * 106569.227721</f>
        <v>3197.07683163</v>
      </c>
      <c r="M73" s="26">
        <f>F73 * G73 * 5275.312416</f>
        <v>158.25937248</v>
      </c>
      <c r="N73" s="27">
        <f>SUM(H73:M73)</f>
        <v>33501.122628899997</v>
      </c>
      <c r="O73" s="28">
        <f>IF(O3&gt;0,N73/O3/12,0)</f>
        <v>0.2955588489021459</v>
      </c>
    </row>
    <row r="74" spans="2:15" s="18" customFormat="1" ht="13.8" x14ac:dyDescent="0.3">
      <c r="B74" s="19"/>
      <c r="C74" s="20" t="s">
        <v>188</v>
      </c>
      <c r="D74" s="32" t="s">
        <v>189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</row>
    <row r="75" spans="2:15" x14ac:dyDescent="0.3">
      <c r="B75" s="21">
        <v>36</v>
      </c>
      <c r="C75" s="22" t="s">
        <v>190</v>
      </c>
      <c r="D75" s="23" t="s">
        <v>191</v>
      </c>
      <c r="E75" s="23" t="s">
        <v>192</v>
      </c>
      <c r="F75" s="24">
        <v>1</v>
      </c>
      <c r="G75" s="25">
        <v>0.3</v>
      </c>
      <c r="H75" s="26">
        <f>F75 * G75 * 670.230183</f>
        <v>201.0690549</v>
      </c>
      <c r="I75" s="26">
        <f>F75 * G75 * 116953</f>
        <v>35085.9</v>
      </c>
      <c r="J75" s="26">
        <f>F75 * G75 * 0</f>
        <v>0</v>
      </c>
      <c r="K75" s="26">
        <f>F75 * G75 * 638.19318</f>
        <v>191.457954</v>
      </c>
      <c r="L75" s="26">
        <f>F75 * G75 * 12490.722022</f>
        <v>3747.2166066</v>
      </c>
      <c r="M75" s="26">
        <f>F75 * G75 * 134.046037</f>
        <v>40.213811100000001</v>
      </c>
      <c r="N75" s="27">
        <f>SUM(H75:M75)</f>
        <v>39265.8574266</v>
      </c>
      <c r="O75" s="28">
        <f>IF(O3&gt;0,N75/O3/12,0)</f>
        <v>0.34641739474575733</v>
      </c>
    </row>
    <row r="76" spans="2:15" s="18" customFormat="1" ht="13.8" x14ac:dyDescent="0.3">
      <c r="B76" s="19"/>
      <c r="C76" s="20" t="s">
        <v>193</v>
      </c>
      <c r="D76" s="32" t="s">
        <v>194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</row>
    <row r="77" spans="2:15" s="18" customFormat="1" ht="13.8" x14ac:dyDescent="0.3">
      <c r="B77" s="19"/>
      <c r="C77" s="20" t="s">
        <v>195</v>
      </c>
      <c r="D77" s="34" t="s">
        <v>196</v>
      </c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</row>
    <row r="78" spans="2:15" x14ac:dyDescent="0.3">
      <c r="B78" s="21">
        <v>37</v>
      </c>
      <c r="C78" s="22" t="s">
        <v>197</v>
      </c>
      <c r="D78" s="23" t="s">
        <v>198</v>
      </c>
      <c r="E78" s="23" t="s">
        <v>199</v>
      </c>
      <c r="F78" s="24">
        <v>0.05</v>
      </c>
      <c r="G78" s="25">
        <v>1</v>
      </c>
      <c r="H78" s="26">
        <f>F78 * G78 * 10490.6781</f>
        <v>524.533905</v>
      </c>
      <c r="I78" s="26">
        <f>F78 * G78 * 19001.734293</f>
        <v>950.08671465000009</v>
      </c>
      <c r="J78" s="26">
        <f>F78 * G78 * 0</f>
        <v>0</v>
      </c>
      <c r="K78" s="26">
        <f>F78 * G78 * 9989.223687</f>
        <v>499.46118435</v>
      </c>
      <c r="L78" s="26">
        <f>F78 * G78 * 4386.66591399999</f>
        <v>219.33329569999952</v>
      </c>
      <c r="M78" s="26">
        <f>F78 * G78 * 2098.13562</f>
        <v>104.90678100000001</v>
      </c>
      <c r="N78" s="27">
        <f>SUM(H78:M78)</f>
        <v>2298.3218806999998</v>
      </c>
      <c r="O78" s="28">
        <f>IF(O3&gt;0,N78/O3/12,0)</f>
        <v>2.0276615114990591E-2</v>
      </c>
    </row>
    <row r="79" spans="2:15" s="18" customFormat="1" ht="13.8" x14ac:dyDescent="0.3">
      <c r="B79" s="19"/>
      <c r="C79" s="20" t="s">
        <v>200</v>
      </c>
      <c r="D79" s="34" t="s">
        <v>201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</row>
    <row r="80" spans="2:15" ht="27.6" x14ac:dyDescent="0.3">
      <c r="B80" s="21">
        <v>38</v>
      </c>
      <c r="C80" s="22" t="s">
        <v>202</v>
      </c>
      <c r="D80" s="23" t="s">
        <v>203</v>
      </c>
      <c r="E80" s="23" t="s">
        <v>199</v>
      </c>
      <c r="F80" s="24">
        <v>0.2</v>
      </c>
      <c r="G80" s="25">
        <v>1</v>
      </c>
      <c r="H80" s="26">
        <f>F80 * G80 * 27475.5855</f>
        <v>5495.1171000000004</v>
      </c>
      <c r="I80" s="26">
        <f>F80 * G80 * 38342.51368</f>
        <v>7668.5027359999995</v>
      </c>
      <c r="J80" s="26">
        <f>F80 * G80 * 0</f>
        <v>0</v>
      </c>
      <c r="K80" s="26">
        <f>F80 * G80 * 26162.252513</f>
        <v>5232.4505026000006</v>
      </c>
      <c r="L80" s="26">
        <f>F80 * G80 * 10283.661958</f>
        <v>2056.7323916</v>
      </c>
      <c r="M80" s="26">
        <f>F80 * G80 * 5495.1171</f>
        <v>1099.0234200000002</v>
      </c>
      <c r="N80" s="27">
        <f>SUM(H80:M80)</f>
        <v>21551.826150200002</v>
      </c>
      <c r="O80" s="28">
        <f>IF(O3&gt;0,N80/O3/12,0)</f>
        <v>0.19013789475810863</v>
      </c>
    </row>
    <row r="81" spans="2:15" s="15" customFormat="1" ht="14.4" x14ac:dyDescent="0.3">
      <c r="B81" s="16"/>
      <c r="C81" s="17" t="s">
        <v>204</v>
      </c>
      <c r="D81" s="33" t="s">
        <v>205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2:15" s="18" customFormat="1" ht="13.8" x14ac:dyDescent="0.3">
      <c r="B82" s="19"/>
      <c r="C82" s="20" t="s">
        <v>206</v>
      </c>
      <c r="D82" s="32" t="s">
        <v>207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  <row r="83" spans="2:15" s="18" customFormat="1" ht="13.8" x14ac:dyDescent="0.3">
      <c r="B83" s="19"/>
      <c r="C83" s="20" t="s">
        <v>208</v>
      </c>
      <c r="D83" s="34" t="s">
        <v>209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</row>
    <row r="84" spans="2:15" ht="41.4" x14ac:dyDescent="0.3">
      <c r="B84" s="21">
        <v>39</v>
      </c>
      <c r="C84" s="22" t="s">
        <v>210</v>
      </c>
      <c r="D84" s="23" t="s">
        <v>211</v>
      </c>
      <c r="E84" s="23" t="s">
        <v>212</v>
      </c>
      <c r="F84" s="24">
        <v>0.1</v>
      </c>
      <c r="G84" s="25">
        <v>1</v>
      </c>
      <c r="H84" s="26">
        <f>F84 * G84 * 29110.133059</f>
        <v>2911.0133059</v>
      </c>
      <c r="I84" s="26">
        <f>F84 * G84 * 32727.760698</f>
        <v>3272.7760698000002</v>
      </c>
      <c r="J84" s="26">
        <f>F84 * G84 * 0</f>
        <v>0</v>
      </c>
      <c r="K84" s="26">
        <f>F84 * G84 * 27718.668698</f>
        <v>2771.8668698000001</v>
      </c>
      <c r="L84" s="26">
        <f>F84 * G84 * 10062.441146</f>
        <v>1006.2441146</v>
      </c>
      <c r="M84" s="26">
        <f>F84 * G84 * 5822.026612</f>
        <v>582.20266119999997</v>
      </c>
      <c r="N84" s="27">
        <f>SUM(H84:M84)</f>
        <v>10544.103021300001</v>
      </c>
      <c r="O84" s="28">
        <f>IF(O3&gt;0,N84/O3/12,0)</f>
        <v>9.3023836430862719E-2</v>
      </c>
    </row>
    <row r="85" spans="2:15" ht="41.4" x14ac:dyDescent="0.3">
      <c r="B85" s="21">
        <v>40</v>
      </c>
      <c r="C85" s="22" t="s">
        <v>213</v>
      </c>
      <c r="D85" s="23" t="s">
        <v>214</v>
      </c>
      <c r="E85" s="23" t="s">
        <v>212</v>
      </c>
      <c r="F85" s="24">
        <v>0.1</v>
      </c>
      <c r="G85" s="25">
        <v>1</v>
      </c>
      <c r="H85" s="26">
        <f>F85 * G85 * 32347.256587</f>
        <v>3234.7256587000002</v>
      </c>
      <c r="I85" s="26">
        <f>F85 * G85 * 41941.673222</f>
        <v>4194.1673221999999</v>
      </c>
      <c r="J85" s="26">
        <f>F85 * G85 * 0</f>
        <v>0</v>
      </c>
      <c r="K85" s="26">
        <f>F85 * G85 * 30801.0577229999</f>
        <v>3080.1057722999903</v>
      </c>
      <c r="L85" s="26">
        <f>F85 * G85 * 11769.520798</f>
        <v>1176.9520798000001</v>
      </c>
      <c r="M85" s="26">
        <f>F85 * G85 * 6469.451317</f>
        <v>646.94513170000005</v>
      </c>
      <c r="N85" s="27">
        <f>SUM(H85:M85)</f>
        <v>12332.89596469999</v>
      </c>
      <c r="O85" s="28">
        <f>IF(O3&gt;0,N85/O3/12,0)</f>
        <v>0.10880520558472806</v>
      </c>
    </row>
    <row r="86" spans="2:15" ht="27.6" x14ac:dyDescent="0.3">
      <c r="B86" s="21">
        <v>41</v>
      </c>
      <c r="C86" s="22" t="s">
        <v>215</v>
      </c>
      <c r="D86" s="23" t="s">
        <v>216</v>
      </c>
      <c r="E86" s="23" t="s">
        <v>217</v>
      </c>
      <c r="F86" s="24">
        <v>0.15</v>
      </c>
      <c r="G86" s="25">
        <v>1</v>
      </c>
      <c r="H86" s="26">
        <f>F86 * G86 * 22240.534338</f>
        <v>3336.0801507000001</v>
      </c>
      <c r="I86" s="26">
        <f>F86 * G86 * 172358.302259</f>
        <v>25853.745338849996</v>
      </c>
      <c r="J86" s="26">
        <f>F86 * G86 * 0</f>
        <v>0</v>
      </c>
      <c r="K86" s="26">
        <f>F86 * G86 * 21177.436797</f>
        <v>3176.6155195499996</v>
      </c>
      <c r="L86" s="26">
        <f>F86 * G86 * 23233.672117</f>
        <v>3485.0508175499995</v>
      </c>
      <c r="M86" s="26">
        <f>F86 * G86 * 4448.106868</f>
        <v>667.21603019999998</v>
      </c>
      <c r="N86" s="27">
        <f>SUM(H86:M86)</f>
        <v>36518.707856849993</v>
      </c>
      <c r="O86" s="28">
        <f>IF(O3&gt;0,N86/O3/12,0)</f>
        <v>0.32218106172517647</v>
      </c>
    </row>
    <row r="87" spans="2:15" s="18" customFormat="1" ht="13.8" x14ac:dyDescent="0.3">
      <c r="B87" s="19"/>
      <c r="C87" s="20" t="s">
        <v>218</v>
      </c>
      <c r="D87" s="32" t="s">
        <v>219</v>
      </c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2:15" x14ac:dyDescent="0.3">
      <c r="B88" s="21">
        <v>42</v>
      </c>
      <c r="C88" s="22" t="s">
        <v>220</v>
      </c>
      <c r="D88" s="23" t="s">
        <v>221</v>
      </c>
      <c r="E88" s="23" t="s">
        <v>37</v>
      </c>
      <c r="F88" s="24">
        <v>0.02</v>
      </c>
      <c r="G88" s="25">
        <v>0.1</v>
      </c>
      <c r="H88" s="26">
        <f>F88 * G88 * 105406.3371</f>
        <v>210.8126742</v>
      </c>
      <c r="I88" s="26">
        <f>F88 * G88 * 680154.927586</f>
        <v>1360.309855172</v>
      </c>
      <c r="J88" s="26">
        <f>F88 * G88 * 0</f>
        <v>0</v>
      </c>
      <c r="K88" s="26">
        <f>F88 * G88 * 100367.914186999</f>
        <v>200.735828373998</v>
      </c>
      <c r="L88" s="26">
        <f>F88 * G88 * 95689.6020829999</f>
        <v>191.37920416599982</v>
      </c>
      <c r="M88" s="26">
        <f>F88 * G88 * 21081.26742</f>
        <v>42.162534839999999</v>
      </c>
      <c r="N88" s="27">
        <f>SUM(H88:M88)</f>
        <v>2005.4000967519978</v>
      </c>
      <c r="O88" s="28">
        <f>IF(O3&gt;0,N88/O3/12,0)</f>
        <v>1.7692354693599536E-2</v>
      </c>
    </row>
    <row r="89" spans="2:15" s="15" customFormat="1" ht="14.4" x14ac:dyDescent="0.3">
      <c r="B89" s="16"/>
      <c r="C89" s="17" t="s">
        <v>222</v>
      </c>
      <c r="D89" s="33" t="s">
        <v>223</v>
      </c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2:15" s="18" customFormat="1" ht="13.8" x14ac:dyDescent="0.3">
      <c r="B90" s="19"/>
      <c r="C90" s="20" t="s">
        <v>224</v>
      </c>
      <c r="D90" s="32" t="s">
        <v>225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2:15" ht="41.4" x14ac:dyDescent="0.3">
      <c r="B91" s="21">
        <v>43</v>
      </c>
      <c r="C91" s="22" t="s">
        <v>226</v>
      </c>
      <c r="D91" s="23" t="s">
        <v>227</v>
      </c>
      <c r="E91" s="23" t="s">
        <v>212</v>
      </c>
      <c r="F91" s="24">
        <v>0.1</v>
      </c>
      <c r="G91" s="25">
        <v>0.2</v>
      </c>
      <c r="H91" s="26">
        <f>F91 * G91 * 63012.126936</f>
        <v>1260.2425387200003</v>
      </c>
      <c r="I91" s="26">
        <f>F91 * G91 * 272220.807805</f>
        <v>5444.416156100001</v>
      </c>
      <c r="J91" s="26">
        <f>F91 * G91 * 0</f>
        <v>0</v>
      </c>
      <c r="K91" s="26">
        <f>F91 * G91 * 60000.147268</f>
        <v>1200.0029453600002</v>
      </c>
      <c r="L91" s="26">
        <f>F91 * G91 * 43026.64603</f>
        <v>860.53292060000024</v>
      </c>
      <c r="M91" s="26">
        <f>F91 * G91 * 12602.425387</f>
        <v>252.04850774000005</v>
      </c>
      <c r="N91" s="27">
        <f>SUM(H91:M91)</f>
        <v>9017.2430685200015</v>
      </c>
      <c r="O91" s="28">
        <f>IF(O3&gt;0,N91/O3/12,0)</f>
        <v>7.9553333514368094E-2</v>
      </c>
    </row>
    <row r="92" spans="2:15" s="18" customFormat="1" ht="13.8" x14ac:dyDescent="0.3">
      <c r="B92" s="19"/>
      <c r="C92" s="20" t="s">
        <v>228</v>
      </c>
      <c r="D92" s="32" t="s">
        <v>229</v>
      </c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2:15" s="18" customFormat="1" ht="13.8" x14ac:dyDescent="0.3">
      <c r="B93" s="19"/>
      <c r="C93" s="20" t="s">
        <v>230</v>
      </c>
      <c r="D93" s="34" t="s">
        <v>231</v>
      </c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</row>
    <row r="94" spans="2:15" ht="27.6" x14ac:dyDescent="0.3">
      <c r="B94" s="21">
        <v>44</v>
      </c>
      <c r="C94" s="22" t="s">
        <v>232</v>
      </c>
      <c r="D94" s="23" t="s">
        <v>233</v>
      </c>
      <c r="E94" s="23" t="s">
        <v>234</v>
      </c>
      <c r="F94" s="24">
        <v>0.1</v>
      </c>
      <c r="G94" s="25">
        <v>1</v>
      </c>
      <c r="H94" s="26">
        <f>F94 * G94 * 13609.293072</f>
        <v>1360.9293072</v>
      </c>
      <c r="I94" s="26">
        <f>F94 * G94 * 3488.120894</f>
        <v>348.81208940000005</v>
      </c>
      <c r="J94" s="26">
        <f>F94 * G94 * 0</f>
        <v>0</v>
      </c>
      <c r="K94" s="26">
        <f>F94 * G94 * 12958.768863</f>
        <v>1295.8768863</v>
      </c>
      <c r="L94" s="26">
        <f>F94 * G94 * 3458.083372</f>
        <v>345.80833720000004</v>
      </c>
      <c r="M94" s="26">
        <f>F94 * G94 * 2721.858614</f>
        <v>272.18586140000002</v>
      </c>
      <c r="N94" s="27">
        <f>SUM(H94:M94)</f>
        <v>3623.6124815000003</v>
      </c>
      <c r="O94" s="28">
        <f>IF(O3&gt;0,N94/O3/12,0)</f>
        <v>3.1968801337292803E-2</v>
      </c>
    </row>
    <row r="95" spans="2:15" ht="27.6" x14ac:dyDescent="0.3">
      <c r="B95" s="21">
        <v>45</v>
      </c>
      <c r="C95" s="22" t="s">
        <v>235</v>
      </c>
      <c r="D95" s="23" t="s">
        <v>236</v>
      </c>
      <c r="E95" s="23" t="s">
        <v>237</v>
      </c>
      <c r="F95" s="24">
        <v>0.3</v>
      </c>
      <c r="G95" s="25">
        <v>1</v>
      </c>
      <c r="H95" s="26">
        <f>F95 * G95 * 2369.894138</f>
        <v>710.96824140000001</v>
      </c>
      <c r="I95" s="26">
        <f>F95 * G95 * 1024.072096</f>
        <v>307.22162880000002</v>
      </c>
      <c r="J95" s="26">
        <f>F95 * G95 * 0</f>
        <v>0</v>
      </c>
      <c r="K95" s="26">
        <f>F95 * G95 * 2256.613199</f>
        <v>676.9839596999999</v>
      </c>
      <c r="L95" s="26">
        <f>F95 * G95 * 646.140896</f>
        <v>193.8422688</v>
      </c>
      <c r="M95" s="26">
        <f>F95 * G95 * 473.978828</f>
        <v>142.1936484</v>
      </c>
      <c r="N95" s="27">
        <f>SUM(H95:M95)</f>
        <v>2031.2097471</v>
      </c>
      <c r="O95" s="28">
        <f>IF(O3&gt;0,N95/O3/12,0)</f>
        <v>1.7920056631588976E-2</v>
      </c>
    </row>
    <row r="96" spans="2:15" ht="27.6" x14ac:dyDescent="0.3">
      <c r="B96" s="21">
        <v>46</v>
      </c>
      <c r="C96" s="22" t="s">
        <v>238</v>
      </c>
      <c r="D96" s="23" t="s">
        <v>239</v>
      </c>
      <c r="E96" s="23" t="s">
        <v>240</v>
      </c>
      <c r="F96" s="24">
        <v>0.05</v>
      </c>
      <c r="G96" s="25">
        <v>1</v>
      </c>
      <c r="H96" s="26">
        <f>F96 * G96 * 7273.932504</f>
        <v>363.69662520000003</v>
      </c>
      <c r="I96" s="26">
        <f>F96 * G96 * 64853.41812</f>
        <v>3242.6709060000003</v>
      </c>
      <c r="J96" s="26">
        <f>F96 * G96 * 0</f>
        <v>0</v>
      </c>
      <c r="K96" s="26">
        <f>F96 * G96 * 6926.238531</f>
        <v>346.31192655000001</v>
      </c>
      <c r="L96" s="26">
        <f>F96 * G96 * 8493.633631</f>
        <v>424.68168155000006</v>
      </c>
      <c r="M96" s="26">
        <f>F96 * G96 * 1454.786501</f>
        <v>72.739325050000005</v>
      </c>
      <c r="N96" s="27">
        <f>SUM(H96:M96)</f>
        <v>4450.10046435</v>
      </c>
      <c r="O96" s="28">
        <f>IF(O3&gt;0,N96/O3/12,0)</f>
        <v>3.9260373012323067E-2</v>
      </c>
    </row>
    <row r="97" spans="2:15" ht="27.6" x14ac:dyDescent="0.3">
      <c r="B97" s="21">
        <v>47</v>
      </c>
      <c r="C97" s="22" t="s">
        <v>241</v>
      </c>
      <c r="D97" s="23" t="s">
        <v>242</v>
      </c>
      <c r="E97" s="23" t="s">
        <v>243</v>
      </c>
      <c r="F97" s="24">
        <v>0.05</v>
      </c>
      <c r="G97" s="25">
        <v>0.5</v>
      </c>
      <c r="H97" s="26">
        <f>F97 * G97 * 12436.078152</f>
        <v>310.9019538</v>
      </c>
      <c r="I97" s="26">
        <f>F97 * G97 * 3877.566386</f>
        <v>96.939159650000008</v>
      </c>
      <c r="J97" s="26">
        <f>F97 * G97 * 0</f>
        <v>0</v>
      </c>
      <c r="K97" s="26">
        <f>F97 * G97 * 11841.633617</f>
        <v>296.040840425</v>
      </c>
      <c r="L97" s="26">
        <f>F97 * G97 * 3232.783094</f>
        <v>80.819577350000003</v>
      </c>
      <c r="M97" s="26">
        <f>F97 * G97 * 2487.21563</f>
        <v>62.180390750000008</v>
      </c>
      <c r="N97" s="27">
        <f>SUM(H97:M97)</f>
        <v>846.88192197500007</v>
      </c>
      <c r="O97" s="28">
        <f>IF(O3&gt;0,N97/O3/12,0)</f>
        <v>7.4714942775989781E-3</v>
      </c>
    </row>
    <row r="98" spans="2:15" s="15" customFormat="1" ht="14.4" x14ac:dyDescent="0.3">
      <c r="B98" s="16"/>
      <c r="C98" s="17" t="s">
        <v>244</v>
      </c>
      <c r="D98" s="33" t="s">
        <v>245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2:15" s="18" customFormat="1" ht="13.8" x14ac:dyDescent="0.3">
      <c r="B99" s="19"/>
      <c r="C99" s="20" t="s">
        <v>246</v>
      </c>
      <c r="D99" s="32" t="s">
        <v>247</v>
      </c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</row>
    <row r="100" spans="2:15" s="18" customFormat="1" ht="13.8" x14ac:dyDescent="0.3">
      <c r="B100" s="19"/>
      <c r="C100" s="20" t="s">
        <v>248</v>
      </c>
      <c r="D100" s="34" t="s">
        <v>249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2:15" ht="27.6" x14ac:dyDescent="0.3">
      <c r="B101" s="21">
        <v>48</v>
      </c>
      <c r="C101" s="22" t="s">
        <v>250</v>
      </c>
      <c r="D101" s="23" t="s">
        <v>251</v>
      </c>
      <c r="E101" s="23" t="s">
        <v>252</v>
      </c>
      <c r="F101" s="24">
        <v>9.82</v>
      </c>
      <c r="G101" s="25">
        <v>1</v>
      </c>
      <c r="H101" s="26">
        <f>F101 * G101 * 1415.306731</f>
        <v>13898.31209842</v>
      </c>
      <c r="I101" s="26">
        <f>F101 * G101 * 629.568754</f>
        <v>6182.3651642800005</v>
      </c>
      <c r="J101" s="26">
        <f>F101 * G101 * 0</f>
        <v>0</v>
      </c>
      <c r="K101" s="26">
        <f>F101 * G101 * 1347.655069</f>
        <v>13233.97277758</v>
      </c>
      <c r="L101" s="26">
        <f>F101 * G101 * 387.774946</f>
        <v>3807.9499697199999</v>
      </c>
      <c r="M101" s="26">
        <f>F101 * G101 * 283.061346</f>
        <v>2779.6624177200001</v>
      </c>
      <c r="N101" s="27">
        <f>SUM(H101:M101)</f>
        <v>39902.262427720001</v>
      </c>
      <c r="O101" s="28">
        <f>IF(O3&gt;0,N101/O3/12,0)</f>
        <v>0.3520319865804899</v>
      </c>
    </row>
    <row r="102" spans="2:15" s="18" customFormat="1" ht="13.8" x14ac:dyDescent="0.3">
      <c r="B102" s="19"/>
      <c r="C102" s="20" t="s">
        <v>253</v>
      </c>
      <c r="D102" s="32" t="s">
        <v>254</v>
      </c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2:15" s="18" customFormat="1" ht="13.8" x14ac:dyDescent="0.3">
      <c r="B103" s="19"/>
      <c r="C103" s="20" t="s">
        <v>255</v>
      </c>
      <c r="D103" s="34" t="s">
        <v>256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2:15" ht="41.4" x14ac:dyDescent="0.3">
      <c r="B104" s="21">
        <v>49</v>
      </c>
      <c r="C104" s="22" t="s">
        <v>257</v>
      </c>
      <c r="D104" s="23" t="s">
        <v>258</v>
      </c>
      <c r="E104" s="23" t="s">
        <v>259</v>
      </c>
      <c r="F104" s="24">
        <v>8</v>
      </c>
      <c r="G104" s="25">
        <v>1</v>
      </c>
      <c r="H104" s="26">
        <f>F104 * G104 * 183.045269</f>
        <v>1464.3621519999999</v>
      </c>
      <c r="I104" s="26">
        <f>F104 * G104 * 0</f>
        <v>0</v>
      </c>
      <c r="J104" s="26">
        <f>F104 * G104 * 0</f>
        <v>0</v>
      </c>
      <c r="K104" s="26">
        <f>F104 * G104 * 174.295705</f>
        <v>1394.36564</v>
      </c>
      <c r="L104" s="26">
        <f>F104 * G104 * 41.5617279999999</f>
        <v>332.49382399999922</v>
      </c>
      <c r="M104" s="26">
        <f>F104 * G104 * 36.609054</f>
        <v>292.872432</v>
      </c>
      <c r="N104" s="27">
        <f>SUM(H104:M104)</f>
        <v>3484.094047999999</v>
      </c>
      <c r="O104" s="28">
        <f>IF(O3&gt;0,N104/O3/12,0)</f>
        <v>3.0737919970639186E-2</v>
      </c>
    </row>
    <row r="105" spans="2:15" ht="41.4" x14ac:dyDescent="0.3">
      <c r="B105" s="21">
        <v>50</v>
      </c>
      <c r="C105" s="22" t="s">
        <v>260</v>
      </c>
      <c r="D105" s="23" t="s">
        <v>261</v>
      </c>
      <c r="E105" s="23" t="s">
        <v>259</v>
      </c>
      <c r="F105" s="24">
        <v>12</v>
      </c>
      <c r="G105" s="25">
        <v>1</v>
      </c>
      <c r="H105" s="26">
        <f>F105 * G105 * 219.654323</f>
        <v>2635.8518760000002</v>
      </c>
      <c r="I105" s="26">
        <f>F105 * G105 * 0</f>
        <v>0</v>
      </c>
      <c r="J105" s="26">
        <f>F105 * G105 * 0</f>
        <v>0</v>
      </c>
      <c r="K105" s="26">
        <f>F105 * G105 * 209.154846</f>
        <v>2509.8581519999998</v>
      </c>
      <c r="L105" s="26">
        <f>F105 * G105 * 49.874073</f>
        <v>598.488876</v>
      </c>
      <c r="M105" s="26">
        <f>F105 * G105 * 43.930865</f>
        <v>527.17038000000002</v>
      </c>
      <c r="N105" s="27">
        <f>SUM(H105:M105)</f>
        <v>6271.3692840000003</v>
      </c>
      <c r="O105" s="28">
        <f>IF(O3&gt;0,N105/O3/12,0)</f>
        <v>5.5328255925976899E-2</v>
      </c>
    </row>
    <row r="106" spans="2:15" ht="41.4" x14ac:dyDescent="0.3">
      <c r="B106" s="21">
        <v>51</v>
      </c>
      <c r="C106" s="22" t="s">
        <v>262</v>
      </c>
      <c r="D106" s="23" t="s">
        <v>263</v>
      </c>
      <c r="E106" s="23" t="s">
        <v>264</v>
      </c>
      <c r="F106" s="24"/>
      <c r="G106" s="25">
        <v>1</v>
      </c>
      <c r="H106" s="26">
        <f>F106 * G106 * 51.862826</f>
        <v>0</v>
      </c>
      <c r="I106" s="26">
        <f>F106 * G106 * 0</f>
        <v>0</v>
      </c>
      <c r="J106" s="26">
        <f>F106 * G106 * 0</f>
        <v>0</v>
      </c>
      <c r="K106" s="26">
        <f>F106 * G106 * 49.3837829999999</f>
        <v>0</v>
      </c>
      <c r="L106" s="26">
        <f>F106 * G106 * 11.775823</f>
        <v>0</v>
      </c>
      <c r="M106" s="26">
        <f>F106 * G106 * 10.372565</f>
        <v>0</v>
      </c>
      <c r="N106" s="27">
        <f>SUM(H106:M106)</f>
        <v>0</v>
      </c>
      <c r="O106" s="28">
        <f>IF(O3&gt;0,N106/O3/12,0)</f>
        <v>0</v>
      </c>
    </row>
    <row r="107" spans="2:15" s="15" customFormat="1" ht="14.4" x14ac:dyDescent="0.3">
      <c r="B107" s="16"/>
      <c r="C107" s="17" t="s">
        <v>265</v>
      </c>
      <c r="D107" s="33" t="s">
        <v>266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2:15" s="18" customFormat="1" ht="13.8" x14ac:dyDescent="0.3">
      <c r="B108" s="19"/>
      <c r="C108" s="20" t="s">
        <v>267</v>
      </c>
      <c r="D108" s="32" t="s">
        <v>268</v>
      </c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2:15" x14ac:dyDescent="0.3">
      <c r="B109" s="21">
        <v>52</v>
      </c>
      <c r="C109" s="22" t="s">
        <v>269</v>
      </c>
      <c r="D109" s="23" t="s">
        <v>270</v>
      </c>
      <c r="E109" s="23" t="s">
        <v>271</v>
      </c>
      <c r="F109" s="24">
        <v>2</v>
      </c>
      <c r="G109" s="25">
        <v>1</v>
      </c>
      <c r="H109" s="26">
        <f>F109 * G109 * 18.771439</f>
        <v>37.542878000000002</v>
      </c>
      <c r="I109" s="26">
        <f>F109 * G109 * 2196.39366</f>
        <v>4392.7873200000004</v>
      </c>
      <c r="J109" s="26">
        <f>F109 * G109 * 0</f>
        <v>0</v>
      </c>
      <c r="K109" s="26">
        <f>F109 * G109 * 17.874164</f>
        <v>35.748328000000001</v>
      </c>
      <c r="L109" s="26">
        <f>F109 * G109 * 235.98172</f>
        <v>471.96343999999999</v>
      </c>
      <c r="M109" s="26">
        <f>F109 * G109 * 3.754288</f>
        <v>7.5085759999999997</v>
      </c>
      <c r="N109" s="27">
        <f>SUM(H109:M109)</f>
        <v>4945.5505420000009</v>
      </c>
      <c r="O109" s="28">
        <f>IF(O3&gt;0,N109/O3/12,0)</f>
        <v>4.3631410253695685E-2</v>
      </c>
    </row>
    <row r="110" spans="2:15" x14ac:dyDescent="0.3">
      <c r="B110" s="21">
        <v>53</v>
      </c>
      <c r="C110" s="22" t="s">
        <v>272</v>
      </c>
      <c r="D110" s="23" t="s">
        <v>273</v>
      </c>
      <c r="E110" s="23" t="s">
        <v>274</v>
      </c>
      <c r="F110" s="24">
        <v>0.05</v>
      </c>
      <c r="G110" s="25">
        <v>1</v>
      </c>
      <c r="H110" s="26">
        <f>F110 * G110 * 46928.5968</f>
        <v>2346.4298400000002</v>
      </c>
      <c r="I110" s="26">
        <f>F110 * G110 * 128543.543605</f>
        <v>6427.1771802500007</v>
      </c>
      <c r="J110" s="26">
        <f>F110 * G110 * 0</f>
        <v>0</v>
      </c>
      <c r="K110" s="26">
        <f>F110 * G110 * 44685.409873</f>
        <v>2234.2704936499999</v>
      </c>
      <c r="L110" s="26">
        <f>F110 * G110 * 24216.814947</f>
        <v>1210.8407473499999</v>
      </c>
      <c r="M110" s="26">
        <f>F110 * G110 * 9385.71936</f>
        <v>469.28596799999997</v>
      </c>
      <c r="N110" s="27">
        <f>SUM(H110:M110)</f>
        <v>12688.00422925</v>
      </c>
      <c r="O110" s="28">
        <f>IF(O3&gt;0,N110/O3/12,0)</f>
        <v>0.11193809731103394</v>
      </c>
    </row>
    <row r="111" spans="2:15" s="18" customFormat="1" ht="13.8" x14ac:dyDescent="0.3">
      <c r="B111" s="19"/>
      <c r="C111" s="20" t="s">
        <v>275</v>
      </c>
      <c r="D111" s="32" t="s">
        <v>276</v>
      </c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2:15" x14ac:dyDescent="0.3">
      <c r="B112" s="21">
        <v>54</v>
      </c>
      <c r="C112" s="22" t="s">
        <v>277</v>
      </c>
      <c r="D112" s="23" t="s">
        <v>278</v>
      </c>
      <c r="E112" s="23" t="s">
        <v>279</v>
      </c>
      <c r="F112" s="24">
        <v>47</v>
      </c>
      <c r="G112" s="25">
        <v>1</v>
      </c>
      <c r="H112" s="26">
        <f>F112 * G112 * 320.54487</f>
        <v>15065.60889</v>
      </c>
      <c r="I112" s="26">
        <f>F112 * G112 * 26.740581</f>
        <v>1256.807307</v>
      </c>
      <c r="J112" s="26">
        <f>F112 * G112 * 0</f>
        <v>0</v>
      </c>
      <c r="K112" s="26">
        <f>F112 * G112 * 305.222826</f>
        <v>14345.472822</v>
      </c>
      <c r="L112" s="26">
        <f>F112 * G112 * 75.6031199999999</f>
        <v>3553.3466399999957</v>
      </c>
      <c r="M112" s="26">
        <f>F112 * G112 * 64.108974</f>
        <v>3013.1217780000002</v>
      </c>
      <c r="N112" s="27">
        <f>SUM(H112:M112)</f>
        <v>37234.357436999991</v>
      </c>
      <c r="O112" s="28">
        <f>IF(O3&gt;0,N112/O3/12,0)</f>
        <v>0.3284947774913452</v>
      </c>
    </row>
    <row r="113" spans="2:15" s="18" customFormat="1" ht="13.8" x14ac:dyDescent="0.3">
      <c r="B113" s="19"/>
      <c r="C113" s="20" t="s">
        <v>280</v>
      </c>
      <c r="D113" s="32" t="s">
        <v>281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2:15" x14ac:dyDescent="0.3">
      <c r="B114" s="21">
        <v>55</v>
      </c>
      <c r="C114" s="22" t="s">
        <v>282</v>
      </c>
      <c r="D114" s="23" t="s">
        <v>283</v>
      </c>
      <c r="E114" s="23" t="s">
        <v>284</v>
      </c>
      <c r="F114" s="24">
        <v>5</v>
      </c>
      <c r="G114" s="25">
        <v>1</v>
      </c>
      <c r="H114" s="26">
        <f>F114 * G114 * 44.582167</f>
        <v>222.91083499999999</v>
      </c>
      <c r="I114" s="26">
        <f>F114 * G114 * 75.27332</f>
        <v>376.36660000000001</v>
      </c>
      <c r="J114" s="26">
        <f>F114 * G114 * 0</f>
        <v>0</v>
      </c>
      <c r="K114" s="26">
        <f>F114 * G114 * 42.4511399999999</f>
        <v>212.25569999999951</v>
      </c>
      <c r="L114" s="26">
        <f>F114 * G114 * 18.064033</f>
        <v>90.320164999999989</v>
      </c>
      <c r="M114" s="26">
        <f>F114 * G114 * 8.916433</f>
        <v>44.582164999999996</v>
      </c>
      <c r="N114" s="27">
        <f>SUM(H114:M114)</f>
        <v>946.43546499999945</v>
      </c>
      <c r="O114" s="28">
        <f>IF(O3&gt;0,N114/O3/12,0)</f>
        <v>8.3497911307085001E-3</v>
      </c>
    </row>
    <row r="115" spans="2:15" ht="27.6" x14ac:dyDescent="0.3">
      <c r="B115" s="21">
        <v>56</v>
      </c>
      <c r="C115" s="22" t="s">
        <v>285</v>
      </c>
      <c r="D115" s="23" t="s">
        <v>286</v>
      </c>
      <c r="E115" s="23" t="s">
        <v>287</v>
      </c>
      <c r="F115" s="24">
        <v>10</v>
      </c>
      <c r="G115" s="25">
        <v>1</v>
      </c>
      <c r="H115" s="26">
        <f>F115 * G115 * 236.037586</f>
        <v>2360.3758600000001</v>
      </c>
      <c r="I115" s="26">
        <f>F115 * G115 * 1088.06144</f>
        <v>10880.614399999999</v>
      </c>
      <c r="J115" s="26">
        <f>F115 * G115 * 0</f>
        <v>0</v>
      </c>
      <c r="K115" s="26">
        <f>F115 * G115 * 224.754989</f>
        <v>2247.5498899999998</v>
      </c>
      <c r="L115" s="26">
        <f>F115 * G115 * 168.384492</f>
        <v>1683.84492</v>
      </c>
      <c r="M115" s="26">
        <f>F115 * G115 * 47.207517</f>
        <v>472.07517000000001</v>
      </c>
      <c r="N115" s="27">
        <f>SUM(H115:M115)</f>
        <v>17644.46024</v>
      </c>
      <c r="O115" s="28">
        <f>IF(O3&gt;0,N115/O3/12,0)</f>
        <v>0.15566571949846666</v>
      </c>
    </row>
    <row r="116" spans="2:15" s="15" customFormat="1" ht="14.4" x14ac:dyDescent="0.3">
      <c r="B116" s="16"/>
      <c r="C116" s="17" t="s">
        <v>288</v>
      </c>
      <c r="D116" s="33" t="s">
        <v>289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2:15" s="18" customFormat="1" ht="13.8" x14ac:dyDescent="0.3">
      <c r="B117" s="19"/>
      <c r="C117" s="20" t="s">
        <v>290</v>
      </c>
      <c r="D117" s="32" t="s">
        <v>291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2:15" x14ac:dyDescent="0.3">
      <c r="B118" s="21">
        <v>57</v>
      </c>
      <c r="C118" s="22" t="s">
        <v>292</v>
      </c>
      <c r="D118" s="23" t="s">
        <v>293</v>
      </c>
      <c r="E118" s="23" t="s">
        <v>294</v>
      </c>
      <c r="F118" s="24">
        <v>0.18</v>
      </c>
      <c r="G118" s="25">
        <v>1</v>
      </c>
      <c r="H118" s="26">
        <f>F118 * G118 * 5166.992826</f>
        <v>930.05870867999988</v>
      </c>
      <c r="I118" s="26">
        <f>F118 * G118 * 12581.042408</f>
        <v>2264.58763344</v>
      </c>
      <c r="J118" s="26">
        <f>F118 * G118 * 0</f>
        <v>0</v>
      </c>
      <c r="K118" s="26">
        <f>F118 * G118 * 4920.010569</f>
        <v>885.60190241999999</v>
      </c>
      <c r="L118" s="26">
        <f>F118 * G118 * 2500.502381</f>
        <v>450.09042857999992</v>
      </c>
      <c r="M118" s="26">
        <f>F118 * G118 * 1033.398565</f>
        <v>186.01174169999999</v>
      </c>
      <c r="N118" s="27">
        <f>SUM(H118:M118)</f>
        <v>4716.35041482</v>
      </c>
      <c r="O118" s="28">
        <f>IF(O3&gt;0,N118/O3/12,0)</f>
        <v>4.1609325008734134E-2</v>
      </c>
    </row>
    <row r="119" spans="2:15" s="18" customFormat="1" ht="13.8" x14ac:dyDescent="0.3">
      <c r="B119" s="19"/>
      <c r="C119" s="20" t="s">
        <v>295</v>
      </c>
      <c r="D119" s="32" t="s">
        <v>296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2:15" ht="27.6" x14ac:dyDescent="0.3">
      <c r="B120" s="21">
        <v>58</v>
      </c>
      <c r="C120" s="22" t="s">
        <v>297</v>
      </c>
      <c r="D120" s="23" t="s">
        <v>298</v>
      </c>
      <c r="E120" s="23" t="s">
        <v>299</v>
      </c>
      <c r="F120" s="24">
        <v>9.4450000000000003</v>
      </c>
      <c r="G120" s="25">
        <v>1</v>
      </c>
      <c r="H120" s="26">
        <f>F120 * G120 * 91.510764</f>
        <v>864.31916597999998</v>
      </c>
      <c r="I120" s="26">
        <f>F120 * G120 * 0</f>
        <v>0</v>
      </c>
      <c r="J120" s="26">
        <f>F120 * G120 * 0</f>
        <v>0</v>
      </c>
      <c r="K120" s="26">
        <f>F120 * G120 * 87.13655</f>
        <v>823.00471475000006</v>
      </c>
      <c r="L120" s="26">
        <f>F120 * G120 * 20.7781679999999</f>
        <v>196.24979675999907</v>
      </c>
      <c r="M120" s="26">
        <f>F120 * G120 * 18.302153</f>
        <v>172.86383508500001</v>
      </c>
      <c r="N120" s="27">
        <f>SUM(H120:M120)</f>
        <v>2056.4375125749989</v>
      </c>
      <c r="O120" s="28">
        <f>IF(O3&gt;0,N120/O3/12,0)</f>
        <v>1.814262497375348E-2</v>
      </c>
    </row>
    <row r="121" spans="2:15" ht="27.6" x14ac:dyDescent="0.3">
      <c r="B121" s="21">
        <v>59</v>
      </c>
      <c r="C121" s="22" t="s">
        <v>300</v>
      </c>
      <c r="D121" s="23" t="s">
        <v>301</v>
      </c>
      <c r="E121" s="23" t="s">
        <v>299</v>
      </c>
      <c r="F121" s="24">
        <v>9.4450000000000003</v>
      </c>
      <c r="G121" s="25">
        <v>1</v>
      </c>
      <c r="H121" s="26">
        <f>F121 * G121 * 729.73968</f>
        <v>6892.3912776000006</v>
      </c>
      <c r="I121" s="26">
        <f>F121 * G121 * 0</f>
        <v>0</v>
      </c>
      <c r="J121" s="26">
        <f>F121 * G121 * 0</f>
        <v>0</v>
      </c>
      <c r="K121" s="26">
        <f>F121 * G121 * 694.858123</f>
        <v>6562.9349717349996</v>
      </c>
      <c r="L121" s="26">
        <f>F121 * G121 * 165.692576</f>
        <v>1564.9663803200001</v>
      </c>
      <c r="M121" s="26">
        <f>F121 * G121 * 145.947936</f>
        <v>1378.4782555199999</v>
      </c>
      <c r="N121" s="27">
        <f>SUM(H121:M121)</f>
        <v>16398.770885174999</v>
      </c>
      <c r="O121" s="28">
        <f>IF(O3&gt;0,N121/O3/12,0)</f>
        <v>0.14467580385056161</v>
      </c>
    </row>
    <row r="122" spans="2:15" ht="27.6" x14ac:dyDescent="0.3">
      <c r="B122" s="21">
        <v>60</v>
      </c>
      <c r="C122" s="22" t="s">
        <v>302</v>
      </c>
      <c r="D122" s="23" t="s">
        <v>303</v>
      </c>
      <c r="E122" s="23" t="s">
        <v>299</v>
      </c>
      <c r="F122" s="24">
        <v>1.794</v>
      </c>
      <c r="G122" s="25">
        <v>1</v>
      </c>
      <c r="H122" s="26">
        <f>F122 * G122 * 362.930969</f>
        <v>651.09815838600002</v>
      </c>
      <c r="I122" s="26">
        <f>F122 * G122 * 0</f>
        <v>0</v>
      </c>
      <c r="J122" s="26">
        <f>F122 * G122 * 0</f>
        <v>0</v>
      </c>
      <c r="K122" s="26">
        <f>F122 * G122 * 345.582869</f>
        <v>619.97566698600008</v>
      </c>
      <c r="L122" s="26">
        <f>F122 * G122 * 82.406053</f>
        <v>147.836459082</v>
      </c>
      <c r="M122" s="26">
        <f>F122 * G122 * 72.586194</f>
        <v>130.21963203600001</v>
      </c>
      <c r="N122" s="27">
        <f>SUM(H122:M122)</f>
        <v>1549.1299164900001</v>
      </c>
      <c r="O122" s="28">
        <f>IF(O3&gt;0,N122/O3/12,0)</f>
        <v>1.366697647686249E-2</v>
      </c>
    </row>
    <row r="123" spans="2:15" ht="27.6" x14ac:dyDescent="0.3">
      <c r="B123" s="21">
        <v>61</v>
      </c>
      <c r="C123" s="22" t="s">
        <v>304</v>
      </c>
      <c r="D123" s="23" t="s">
        <v>305</v>
      </c>
      <c r="E123" s="23" t="s">
        <v>299</v>
      </c>
      <c r="F123" s="24">
        <v>9.4450000000000003</v>
      </c>
      <c r="G123" s="25">
        <v>1</v>
      </c>
      <c r="H123" s="26">
        <f>F123 * G123 * 1059.652464</f>
        <v>10008.41752248</v>
      </c>
      <c r="I123" s="26">
        <f>F123 * G123 * 0</f>
        <v>0</v>
      </c>
      <c r="J123" s="26">
        <f>F123 * G123 * 0</f>
        <v>0</v>
      </c>
      <c r="K123" s="26">
        <f>F123 * G123 * 1009.00107699999</f>
        <v>9530.0151722649061</v>
      </c>
      <c r="L123" s="26">
        <f>F123 * G123 * 240.601614999999</f>
        <v>2272.4822536749907</v>
      </c>
      <c r="M123" s="26">
        <f>F123 * G123 * 211.930493</f>
        <v>2001.6835063850001</v>
      </c>
      <c r="N123" s="27">
        <f>SUM(H123:M123)</f>
        <v>23812.598454804902</v>
      </c>
      <c r="O123" s="28">
        <f>IF(O3&gt;0,N123/O3/12,0)</f>
        <v>0.21008323412421259</v>
      </c>
    </row>
    <row r="124" spans="2:15" s="18" customFormat="1" ht="13.8" x14ac:dyDescent="0.3">
      <c r="B124" s="19"/>
      <c r="C124" s="20" t="s">
        <v>306</v>
      </c>
      <c r="D124" s="32" t="s">
        <v>307</v>
      </c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2:15" x14ac:dyDescent="0.3">
      <c r="B125" s="21">
        <v>62</v>
      </c>
      <c r="C125" s="22" t="s">
        <v>308</v>
      </c>
      <c r="D125" s="23" t="s">
        <v>309</v>
      </c>
      <c r="E125" s="23" t="s">
        <v>310</v>
      </c>
      <c r="F125" s="24">
        <v>1.619</v>
      </c>
      <c r="G125" s="25">
        <v>1</v>
      </c>
      <c r="H125" s="26">
        <f>F125 * G125 * 741.756725</f>
        <v>1200.904137775</v>
      </c>
      <c r="I125" s="26">
        <f>F125 * G125 * 0</f>
        <v>0</v>
      </c>
      <c r="J125" s="26">
        <f>F125 * G125 * 0</f>
        <v>0</v>
      </c>
      <c r="K125" s="26">
        <f>F125 * G125 * 706.300753</f>
        <v>1143.5009191070001</v>
      </c>
      <c r="L125" s="26">
        <f>F125 * G125 * 168.421131</f>
        <v>272.67381108900003</v>
      </c>
      <c r="M125" s="26">
        <f>F125 * G125 * 148.351345</f>
        <v>240.18082755500001</v>
      </c>
      <c r="N125" s="27">
        <f>SUM(H125:M125)</f>
        <v>2857.2596955260005</v>
      </c>
      <c r="O125" s="28">
        <f>IF(O3&gt;0,N125/O3/12,0)</f>
        <v>2.5207763810746339E-2</v>
      </c>
    </row>
    <row r="126" spans="2:15" s="18" customFormat="1" ht="13.8" x14ac:dyDescent="0.3">
      <c r="B126" s="19"/>
      <c r="C126" s="20" t="s">
        <v>311</v>
      </c>
      <c r="D126" s="32" t="s">
        <v>312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2:15" ht="41.4" x14ac:dyDescent="0.3">
      <c r="B127" s="21">
        <v>63</v>
      </c>
      <c r="C127" s="22" t="s">
        <v>313</v>
      </c>
      <c r="D127" s="23" t="s">
        <v>314</v>
      </c>
      <c r="E127" s="23" t="s">
        <v>315</v>
      </c>
      <c r="F127" s="24">
        <v>0.15</v>
      </c>
      <c r="G127" s="25">
        <v>1</v>
      </c>
      <c r="H127" s="26">
        <f>F127 * G127 * 8312.118894</f>
        <v>1246.8178340999998</v>
      </c>
      <c r="I127" s="26">
        <f>F127 * G127 * 1024.072096</f>
        <v>153.61081440000001</v>
      </c>
      <c r="J127" s="26">
        <f>F127 * G127 * 0</f>
        <v>0</v>
      </c>
      <c r="K127" s="26">
        <f>F127 * G127 * 7914.799611</f>
        <v>1187.21994165</v>
      </c>
      <c r="L127" s="26">
        <f>F127 * G127 * 1995.365217</f>
        <v>299.30478254999997</v>
      </c>
      <c r="M127" s="26">
        <f>F127 * G127 * 1662.423779</f>
        <v>249.36356684999998</v>
      </c>
      <c r="N127" s="27">
        <f>SUM(H127:M127)</f>
        <v>3136.3169395499999</v>
      </c>
      <c r="O127" s="28">
        <f>IF(O3&gt;0,N127/O3/12,0)</f>
        <v>2.7669706317424856E-2</v>
      </c>
    </row>
    <row r="128" spans="2:15" s="18" customFormat="1" ht="13.8" x14ac:dyDescent="0.3">
      <c r="B128" s="19"/>
      <c r="C128" s="20" t="s">
        <v>316</v>
      </c>
      <c r="D128" s="32" t="s">
        <v>317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2:15" ht="27.6" x14ac:dyDescent="0.3">
      <c r="B129" s="21">
        <v>64</v>
      </c>
      <c r="C129" s="22" t="s">
        <v>318</v>
      </c>
      <c r="D129" s="23" t="s">
        <v>319</v>
      </c>
      <c r="E129" s="23" t="s">
        <v>299</v>
      </c>
      <c r="F129" s="24">
        <v>9.4450000000000003</v>
      </c>
      <c r="G129" s="25">
        <v>3</v>
      </c>
      <c r="H129" s="26">
        <f>F129 * G129 * 985.500533</f>
        <v>27924.157602555002</v>
      </c>
      <c r="I129" s="26">
        <f>F129 * G129 * 0</f>
        <v>0</v>
      </c>
      <c r="J129" s="26">
        <f>F129 * G129 * 0</f>
        <v>0</v>
      </c>
      <c r="K129" s="26">
        <f>F129 * G129 * 938.393607</f>
        <v>26589.382854345</v>
      </c>
      <c r="L129" s="26">
        <f>F129 * G129 * 223.764893</f>
        <v>6340.3782431549998</v>
      </c>
      <c r="M129" s="26">
        <f>F129 * G129 * 197.100107</f>
        <v>5584.8315318450004</v>
      </c>
      <c r="N129" s="27">
        <f>SUM(H129:M129)</f>
        <v>66438.750231900005</v>
      </c>
      <c r="O129" s="28">
        <f>IF(O3&gt;0,N129/O3/12,0)</f>
        <v>0.58614634376753438</v>
      </c>
    </row>
    <row r="130" spans="2:15" s="18" customFormat="1" ht="13.8" x14ac:dyDescent="0.3">
      <c r="B130" s="19"/>
      <c r="C130" s="20" t="s">
        <v>320</v>
      </c>
      <c r="D130" s="32" t="s">
        <v>321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2:15" x14ac:dyDescent="0.3">
      <c r="B131" s="21">
        <v>65</v>
      </c>
      <c r="C131" s="22" t="s">
        <v>322</v>
      </c>
      <c r="D131" s="23" t="s">
        <v>323</v>
      </c>
      <c r="E131" s="23" t="s">
        <v>161</v>
      </c>
      <c r="F131" s="24">
        <v>4</v>
      </c>
      <c r="G131" s="25">
        <v>0.3</v>
      </c>
      <c r="H131" s="26">
        <f>F131 * G131 * 469.285968</f>
        <v>563.14316159999998</v>
      </c>
      <c r="I131" s="26">
        <f>F131 * G131 * 0</f>
        <v>0</v>
      </c>
      <c r="J131" s="26">
        <f>F131 * G131 * 0</f>
        <v>0</v>
      </c>
      <c r="K131" s="26">
        <f>F131 * G131 * 446.854099</f>
        <v>536.22491879999995</v>
      </c>
      <c r="L131" s="26">
        <f>F131 * G131 * 106.554711</f>
        <v>127.8656532</v>
      </c>
      <c r="M131" s="26">
        <f>F131 * G131 * 93.857194</f>
        <v>112.62863280000001</v>
      </c>
      <c r="N131" s="27">
        <f>SUM(H131:M131)</f>
        <v>1339.8623664000002</v>
      </c>
      <c r="O131" s="28">
        <f>IF(O3&gt;0,N131/O3/12,0)</f>
        <v>1.1820743534094879E-2</v>
      </c>
    </row>
    <row r="132" spans="2:15" x14ac:dyDescent="0.3">
      <c r="B132" s="21">
        <v>66</v>
      </c>
      <c r="C132" s="22" t="s">
        <v>324</v>
      </c>
      <c r="D132" s="23" t="s">
        <v>325</v>
      </c>
      <c r="E132" s="23" t="s">
        <v>326</v>
      </c>
      <c r="F132" s="24">
        <v>300</v>
      </c>
      <c r="G132" s="25">
        <v>0.3</v>
      </c>
      <c r="H132" s="26">
        <f>F132 * G132 * 67.111322</f>
        <v>6040.0189799999998</v>
      </c>
      <c r="I132" s="26">
        <f>F132 * G132 * 0</f>
        <v>0</v>
      </c>
      <c r="J132" s="26">
        <f>F132 * G132 * 0</f>
        <v>0</v>
      </c>
      <c r="K132" s="26">
        <f>F132 * G132 * 63.903401</f>
        <v>5751.30609</v>
      </c>
      <c r="L132" s="26">
        <f>F132 * G132 * 15.238102</f>
        <v>1371.4291799999999</v>
      </c>
      <c r="M132" s="26">
        <f>F132 * G132 * 13.422264</f>
        <v>1208.0037600000001</v>
      </c>
      <c r="N132" s="27">
        <f>SUM(H132:M132)</f>
        <v>14370.758009999998</v>
      </c>
      <c r="O132" s="28">
        <f>IF(O3&gt;0,N132/O3/12,0)</f>
        <v>0.12678395116296301</v>
      </c>
    </row>
    <row r="133" spans="2:15" s="18" customFormat="1" ht="13.8" x14ac:dyDescent="0.3">
      <c r="B133" s="19"/>
      <c r="C133" s="20" t="s">
        <v>327</v>
      </c>
      <c r="D133" s="32" t="s">
        <v>328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2:15" s="18" customFormat="1" ht="13.8" x14ac:dyDescent="0.3">
      <c r="B134" s="19"/>
      <c r="C134" s="20" t="s">
        <v>329</v>
      </c>
      <c r="D134" s="34" t="s">
        <v>330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2:15" ht="41.4" x14ac:dyDescent="0.3">
      <c r="B135" s="21">
        <v>67</v>
      </c>
      <c r="C135" s="22" t="s">
        <v>331</v>
      </c>
      <c r="D135" s="23" t="s">
        <v>332</v>
      </c>
      <c r="E135" s="23" t="s">
        <v>333</v>
      </c>
      <c r="F135" s="24">
        <v>2.4990000000000001</v>
      </c>
      <c r="G135" s="25">
        <v>1</v>
      </c>
      <c r="H135" s="26">
        <f>F135 * G135 * 1059.652464</f>
        <v>2648.0715075360004</v>
      </c>
      <c r="I135" s="26">
        <f>F135 * G135 * 0</f>
        <v>0</v>
      </c>
      <c r="J135" s="26">
        <f>F135 * G135 * 0</f>
        <v>0</v>
      </c>
      <c r="K135" s="26">
        <f>F135 * G135 * 1009.00107699999</f>
        <v>2521.4936914229752</v>
      </c>
      <c r="L135" s="26">
        <f>F135 * G135 * 240.601614999999</f>
        <v>601.26343588499753</v>
      </c>
      <c r="M135" s="26">
        <f>F135 * G135 * 211.930493</f>
        <v>529.61430200700011</v>
      </c>
      <c r="N135" s="27">
        <f>SUM(H135:M135)</f>
        <v>6300.4429368509727</v>
      </c>
      <c r="O135" s="28">
        <f>IF(O3&gt;0,N135/O3/12,0)</f>
        <v>5.5584754057851481E-2</v>
      </c>
    </row>
    <row r="136" spans="2:15" x14ac:dyDescent="0.3">
      <c r="B136" s="21">
        <v>68</v>
      </c>
      <c r="C136" s="22" t="s">
        <v>334</v>
      </c>
      <c r="D136" s="23" t="s">
        <v>335</v>
      </c>
      <c r="E136" s="23" t="s">
        <v>336</v>
      </c>
      <c r="F136" s="24">
        <v>1</v>
      </c>
      <c r="G136" s="25">
        <v>1</v>
      </c>
      <c r="H136" s="26">
        <f>F136 * G136 * 938.571936</f>
        <v>938.57193600000005</v>
      </c>
      <c r="I136" s="26">
        <f>F136 * G136 * 0</f>
        <v>0</v>
      </c>
      <c r="J136" s="26">
        <f>F136 * G136 * 0</f>
        <v>0</v>
      </c>
      <c r="K136" s="26">
        <f>F136 * G136 * 893.708197</f>
        <v>893.70819700000004</v>
      </c>
      <c r="L136" s="26">
        <f>F136 * G136 * 213.109422</f>
        <v>213.109422</v>
      </c>
      <c r="M136" s="26">
        <f>F136 * G136 * 187.714387</f>
        <v>187.71438699999999</v>
      </c>
      <c r="N136" s="27">
        <f>SUM(H136:M136)</f>
        <v>2233.1039420000002</v>
      </c>
      <c r="O136" s="28">
        <f>IF(O3&gt;0,N136/O3/12,0)</f>
        <v>1.9701239205846752E-2</v>
      </c>
    </row>
    <row r="137" spans="2:15" s="18" customFormat="1" ht="13.8" x14ac:dyDescent="0.3">
      <c r="B137" s="19"/>
      <c r="C137" s="20" t="s">
        <v>337</v>
      </c>
      <c r="D137" s="34" t="s">
        <v>338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2:15" ht="27.6" x14ac:dyDescent="0.3">
      <c r="B138" s="21">
        <v>69</v>
      </c>
      <c r="C138" s="22" t="s">
        <v>339</v>
      </c>
      <c r="D138" s="23" t="s">
        <v>340</v>
      </c>
      <c r="E138" s="23" t="s">
        <v>180</v>
      </c>
      <c r="F138" s="24">
        <v>5</v>
      </c>
      <c r="G138" s="25">
        <v>1</v>
      </c>
      <c r="H138" s="26">
        <f>F138 * G138 * 922.101423</f>
        <v>4610.5071149999994</v>
      </c>
      <c r="I138" s="26">
        <f>F138 * G138 * 9.960721</f>
        <v>49.803604999999997</v>
      </c>
      <c r="J138" s="26">
        <f>F138 * G138 * 0</f>
        <v>0</v>
      </c>
      <c r="K138" s="26">
        <f>F138 * G138 * 878.024974999999</f>
        <v>4390.124874999995</v>
      </c>
      <c r="L138" s="26">
        <f>F138 * G138 * 210.420530999999</f>
        <v>1052.1026549999949</v>
      </c>
      <c r="M138" s="26">
        <f>F138 * G138 * 184.420285</f>
        <v>922.10142500000006</v>
      </c>
      <c r="N138" s="27">
        <f>SUM(H138:M138)</f>
        <v>11024.639674999991</v>
      </c>
      <c r="O138" s="28">
        <f>IF(O3&gt;0,N138/O3/12,0)</f>
        <v>9.7263302128658094E-2</v>
      </c>
    </row>
    <row r="139" spans="2:15" s="18" customFormat="1" ht="13.8" x14ac:dyDescent="0.3">
      <c r="B139" s="19"/>
      <c r="C139" s="20" t="s">
        <v>341</v>
      </c>
      <c r="D139" s="34" t="s">
        <v>342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2:15" ht="27.6" x14ac:dyDescent="0.3">
      <c r="B140" s="21">
        <v>70</v>
      </c>
      <c r="C140" s="22" t="s">
        <v>343</v>
      </c>
      <c r="D140" s="23" t="s">
        <v>344</v>
      </c>
      <c r="E140" s="23" t="s">
        <v>345</v>
      </c>
      <c r="F140" s="24">
        <v>41.2</v>
      </c>
      <c r="G140" s="25">
        <v>1</v>
      </c>
      <c r="H140" s="26">
        <f>F140 * G140 * 217.306904</f>
        <v>8953.0444447999998</v>
      </c>
      <c r="I140" s="26">
        <f>F140 * G140 * 0</f>
        <v>0</v>
      </c>
      <c r="J140" s="26">
        <f>F140 * G140 * 0</f>
        <v>0</v>
      </c>
      <c r="K140" s="26">
        <f>F140 * G140 * 206.919634</f>
        <v>8525.0889208000008</v>
      </c>
      <c r="L140" s="26">
        <f>F140 * G140 * 49.341076</f>
        <v>2032.8523312000002</v>
      </c>
      <c r="M140" s="26">
        <f>F140 * G140 * 43.461381</f>
        <v>1790.6088972000002</v>
      </c>
      <c r="N140" s="27">
        <f>SUM(H140:M140)</f>
        <v>21301.594593999998</v>
      </c>
      <c r="O140" s="28">
        <f>IF(O3&gt;0,N140/O3/12,0)</f>
        <v>0.18793026274742297</v>
      </c>
    </row>
    <row r="141" spans="2:15" s="18" customFormat="1" ht="13.8" x14ac:dyDescent="0.3">
      <c r="B141" s="19"/>
      <c r="C141" s="20" t="s">
        <v>346</v>
      </c>
      <c r="D141" s="34" t="s">
        <v>347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2:15" x14ac:dyDescent="0.3">
      <c r="B142" s="21">
        <v>71</v>
      </c>
      <c r="C142" s="22" t="s">
        <v>348</v>
      </c>
      <c r="D142" s="23" t="s">
        <v>349</v>
      </c>
      <c r="E142" s="23" t="s">
        <v>350</v>
      </c>
      <c r="F142" s="24">
        <v>0.2</v>
      </c>
      <c r="G142" s="25">
        <v>1</v>
      </c>
      <c r="H142" s="26">
        <f>F142 * G142 * 8212.306596</f>
        <v>1642.4613192000002</v>
      </c>
      <c r="I142" s="26">
        <f>F142 * G142 * 443.77776</f>
        <v>88.755552000000009</v>
      </c>
      <c r="J142" s="26">
        <f>F142 * G142 * 0</f>
        <v>0</v>
      </c>
      <c r="K142" s="26">
        <f>F142 * G142 * 7819.75834</f>
        <v>1563.9516680000002</v>
      </c>
      <c r="L142" s="26">
        <f>F142 * G142 * 1911.481074</f>
        <v>382.29621480000003</v>
      </c>
      <c r="M142" s="26">
        <f>F142 * G142 * 1642.461319</f>
        <v>328.49226380000005</v>
      </c>
      <c r="N142" s="27">
        <f>SUM(H142:M142)</f>
        <v>4005.9570178000004</v>
      </c>
      <c r="O142" s="28">
        <f>IF(O3&gt;0,N142/O3/12,0)</f>
        <v>3.5341981164268753E-2</v>
      </c>
    </row>
    <row r="143" spans="2:15" s="18" customFormat="1" ht="13.8" x14ac:dyDescent="0.3">
      <c r="B143" s="19"/>
      <c r="C143" s="20" t="s">
        <v>351</v>
      </c>
      <c r="D143" s="36" t="s">
        <v>352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</row>
    <row r="144" spans="2:15" ht="27.6" x14ac:dyDescent="0.3">
      <c r="B144" s="21">
        <v>72</v>
      </c>
      <c r="C144" s="22" t="s">
        <v>353</v>
      </c>
      <c r="D144" s="23" t="s">
        <v>354</v>
      </c>
      <c r="E144" s="23" t="s">
        <v>355</v>
      </c>
      <c r="F144" s="24">
        <v>0.1</v>
      </c>
      <c r="G144" s="25">
        <v>1</v>
      </c>
      <c r="H144" s="26">
        <f>F144 * G144 * 13140.007104</f>
        <v>1314.0007104000001</v>
      </c>
      <c r="I144" s="26">
        <f>F144 * G144 * 0</f>
        <v>0</v>
      </c>
      <c r="J144" s="26">
        <f>F144 * G144 * 0</f>
        <v>0</v>
      </c>
      <c r="K144" s="26">
        <f>F144 * G144 * 12511.914765</f>
        <v>1251.1914765000001</v>
      </c>
      <c r="L144" s="26">
        <f>F144 * G144 * 2983.531907</f>
        <v>298.35319070000003</v>
      </c>
      <c r="M144" s="26">
        <f>F144 * G144 * 2628.001421</f>
        <v>262.80014210000002</v>
      </c>
      <c r="N144" s="27">
        <f>SUM(H144:M144)</f>
        <v>3126.3455197000003</v>
      </c>
      <c r="O144" s="28">
        <f>IF(O3&gt;0,N144/O3/12,0)</f>
        <v>2.7581734896125573E-2</v>
      </c>
    </row>
    <row r="145" spans="2:15" s="18" customFormat="1" ht="13.8" x14ac:dyDescent="0.3">
      <c r="B145" s="19"/>
      <c r="C145" s="20" t="s">
        <v>356</v>
      </c>
      <c r="D145" s="36" t="s">
        <v>357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</row>
    <row r="146" spans="2:15" ht="27.6" x14ac:dyDescent="0.3">
      <c r="B146" s="21">
        <v>73</v>
      </c>
      <c r="C146" s="22" t="s">
        <v>358</v>
      </c>
      <c r="D146" s="23" t="s">
        <v>359</v>
      </c>
      <c r="E146" s="23" t="s">
        <v>180</v>
      </c>
      <c r="F146" s="24">
        <v>0.1</v>
      </c>
      <c r="G146" s="25">
        <v>1</v>
      </c>
      <c r="H146" s="26">
        <f>F146 * G146 * 7413.511446</f>
        <v>741.35114460000011</v>
      </c>
      <c r="I146" s="26">
        <f>F146 * G146 * 2186.242967</f>
        <v>218.62429670000003</v>
      </c>
      <c r="J146" s="26">
        <f>F146 * G146 * 0</f>
        <v>0</v>
      </c>
      <c r="K146" s="26">
        <f>F146 * G146 * 7059.14559899999</f>
        <v>705.91455989999906</v>
      </c>
      <c r="L146" s="26">
        <f>F146 * G146 * 1913.939043</f>
        <v>191.39390430000003</v>
      </c>
      <c r="M146" s="26">
        <f>F146 * G146 * 1482.702289</f>
        <v>148.27022890000001</v>
      </c>
      <c r="N146" s="27">
        <f>SUM(H146:M146)</f>
        <v>2005.5541343999994</v>
      </c>
      <c r="O146" s="28">
        <f>IF(O3&gt;0,N146/O3/12,0)</f>
        <v>1.7693713668653455E-2</v>
      </c>
    </row>
    <row r="147" spans="2:15" s="15" customFormat="1" ht="14.4" x14ac:dyDescent="0.3">
      <c r="B147" s="16"/>
      <c r="C147" s="17" t="s">
        <v>360</v>
      </c>
      <c r="D147" s="33" t="s">
        <v>361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2:15" s="18" customFormat="1" ht="13.8" x14ac:dyDescent="0.3">
      <c r="B148" s="19"/>
      <c r="C148" s="20" t="s">
        <v>362</v>
      </c>
      <c r="D148" s="32" t="s">
        <v>363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2:15" ht="41.4" x14ac:dyDescent="0.3">
      <c r="B149" s="21">
        <v>74</v>
      </c>
      <c r="C149" s="22" t="s">
        <v>364</v>
      </c>
      <c r="D149" s="23" t="s">
        <v>365</v>
      </c>
      <c r="E149" s="23" t="s">
        <v>366</v>
      </c>
      <c r="F149" s="24">
        <v>3.5999999999999997E-2</v>
      </c>
      <c r="G149" s="25">
        <v>365</v>
      </c>
      <c r="H149" s="26">
        <f>F149 * G149 * 2119.304928</f>
        <v>27847.666753919999</v>
      </c>
      <c r="I149" s="26">
        <f>F149 * G149 * 0</f>
        <v>0</v>
      </c>
      <c r="J149" s="26">
        <f>F149 * G149 * 0</f>
        <v>0</v>
      </c>
      <c r="K149" s="26">
        <f>F149 * G149 * 2018.002152</f>
        <v>26516.548277279999</v>
      </c>
      <c r="L149" s="26">
        <f>F149 * G149 * 481.203231</f>
        <v>6323.0104553399997</v>
      </c>
      <c r="M149" s="26">
        <f>F149 * G149 * 423.860986</f>
        <v>5569.5333560399995</v>
      </c>
      <c r="N149" s="27">
        <f>SUM(H149:M149)</f>
        <v>66256.758842580006</v>
      </c>
      <c r="O149" s="28">
        <f>IF(O3&gt;0,N149/O3/12,0)</f>
        <v>0.58454075084059409</v>
      </c>
    </row>
    <row r="150" spans="2:15" s="18" customFormat="1" ht="13.8" x14ac:dyDescent="0.3">
      <c r="B150" s="19"/>
      <c r="C150" s="20" t="s">
        <v>367</v>
      </c>
      <c r="D150" s="34" t="s">
        <v>368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</row>
    <row r="151" spans="2:15" ht="27.6" x14ac:dyDescent="0.3">
      <c r="B151" s="21">
        <v>75</v>
      </c>
      <c r="C151" s="22" t="s">
        <v>369</v>
      </c>
      <c r="D151" s="23" t="s">
        <v>370</v>
      </c>
      <c r="E151" s="23" t="s">
        <v>371</v>
      </c>
      <c r="F151" s="24">
        <v>5</v>
      </c>
      <c r="G151" s="25">
        <v>365</v>
      </c>
      <c r="H151" s="26">
        <f>F151 * G151 * 16.486999</f>
        <v>30088.773175000002</v>
      </c>
      <c r="I151" s="26">
        <f>F151 * G151 * 0</f>
        <v>0</v>
      </c>
      <c r="J151" s="26">
        <f>F151 * G151 * 0</f>
        <v>0</v>
      </c>
      <c r="K151" s="26">
        <f>F151 * G151 * 15.69892</f>
        <v>28650.528999999999</v>
      </c>
      <c r="L151" s="26">
        <f>F151 * G151 * 3.743491</f>
        <v>6831.871075</v>
      </c>
      <c r="M151" s="26">
        <f>F151 * G151 * 3.2974</f>
        <v>6017.7550000000001</v>
      </c>
      <c r="N151" s="27">
        <f>SUM(H151:M151)</f>
        <v>71588.928250000012</v>
      </c>
      <c r="O151" s="28">
        <f>IF(O3&gt;0,N151/O3/12,0)</f>
        <v>0.63158305057680575</v>
      </c>
    </row>
    <row r="152" spans="2:15" s="18" customFormat="1" ht="13.8" x14ac:dyDescent="0.3">
      <c r="B152" s="19"/>
      <c r="C152" s="20" t="s">
        <v>372</v>
      </c>
      <c r="D152" s="34" t="s">
        <v>373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</row>
    <row r="153" spans="2:15" ht="27.6" x14ac:dyDescent="0.3">
      <c r="B153" s="21">
        <v>76</v>
      </c>
      <c r="C153" s="22" t="s">
        <v>374</v>
      </c>
      <c r="D153" s="23" t="s">
        <v>375</v>
      </c>
      <c r="E153" s="23" t="s">
        <v>376</v>
      </c>
      <c r="F153" s="24">
        <v>5</v>
      </c>
      <c r="G153" s="25">
        <v>12</v>
      </c>
      <c r="H153" s="26">
        <f>F153 * G153 * 49.37197</f>
        <v>2962.3181999999997</v>
      </c>
      <c r="I153" s="26">
        <f t="shared" ref="I153:I160" si="2">F153 * G153 * 0</f>
        <v>0</v>
      </c>
      <c r="J153" s="26">
        <f t="shared" ref="J153:J160" si="3">F153 * G153 * 0</f>
        <v>0</v>
      </c>
      <c r="K153" s="26">
        <f>F153 * G153 * 47.01199</f>
        <v>2820.7194</v>
      </c>
      <c r="L153" s="26">
        <f>F153 * G153 * 11.210257</f>
        <v>672.61541999999997</v>
      </c>
      <c r="M153" s="26">
        <f>F153 * G153 * 9.874394</f>
        <v>592.46364000000005</v>
      </c>
      <c r="N153" s="27">
        <f t="shared" ref="N153:N160" si="4">SUM(H153:M153)</f>
        <v>7048.1166599999997</v>
      </c>
      <c r="O153" s="28">
        <f>IF(O3&gt;0,N153/O3/12,0)</f>
        <v>6.218099823199974E-2</v>
      </c>
    </row>
    <row r="154" spans="2:15" ht="27.6" x14ac:dyDescent="0.3">
      <c r="B154" s="21">
        <v>77</v>
      </c>
      <c r="C154" s="22" t="s">
        <v>377</v>
      </c>
      <c r="D154" s="23" t="s">
        <v>378</v>
      </c>
      <c r="E154" s="23" t="s">
        <v>379</v>
      </c>
      <c r="F154" s="24">
        <v>5</v>
      </c>
      <c r="G154" s="25">
        <v>12</v>
      </c>
      <c r="H154" s="26">
        <f>F154 * G154 * 66.544829</f>
        <v>3992.6897399999998</v>
      </c>
      <c r="I154" s="26">
        <f t="shared" si="2"/>
        <v>0</v>
      </c>
      <c r="J154" s="26">
        <f t="shared" si="3"/>
        <v>0</v>
      </c>
      <c r="K154" s="26">
        <f>F154 * G154 * 63.363986</f>
        <v>3801.83916</v>
      </c>
      <c r="L154" s="26">
        <f>F154 * G154 * 15.109476</f>
        <v>906.56856000000005</v>
      </c>
      <c r="M154" s="26">
        <f>F154 * G154 * 13.308966</f>
        <v>798.53796</v>
      </c>
      <c r="N154" s="27">
        <f t="shared" si="4"/>
        <v>9499.6354199999987</v>
      </c>
      <c r="O154" s="28">
        <f>IF(O3&gt;0,N154/O3/12,0)</f>
        <v>8.3809170839641303E-2</v>
      </c>
    </row>
    <row r="155" spans="2:15" ht="27.6" x14ac:dyDescent="0.3">
      <c r="B155" s="21">
        <v>78</v>
      </c>
      <c r="C155" s="22" t="s">
        <v>380</v>
      </c>
      <c r="D155" s="23" t="s">
        <v>381</v>
      </c>
      <c r="E155" s="23" t="s">
        <v>371</v>
      </c>
      <c r="F155" s="24">
        <v>5</v>
      </c>
      <c r="G155" s="25">
        <v>12</v>
      </c>
      <c r="H155" s="26">
        <f>F155 * G155 * 10.733037</f>
        <v>643.98221999999998</v>
      </c>
      <c r="I155" s="26">
        <f t="shared" si="2"/>
        <v>0</v>
      </c>
      <c r="J155" s="26">
        <f t="shared" si="3"/>
        <v>0</v>
      </c>
      <c r="K155" s="26">
        <f>F155 * G155 * 10.219998</f>
        <v>613.19988000000001</v>
      </c>
      <c r="L155" s="26">
        <f>F155 * G155 * 2.437012</f>
        <v>146.22072</v>
      </c>
      <c r="M155" s="26">
        <f>F155 * G155 * 2.146607</f>
        <v>128.79641999999998</v>
      </c>
      <c r="N155" s="27">
        <f t="shared" si="4"/>
        <v>1532.1992399999999</v>
      </c>
      <c r="O155" s="28">
        <f>IF(O3&gt;0,N155/O3/12,0)</f>
        <v>1.3517608012111328E-2</v>
      </c>
    </row>
    <row r="156" spans="2:15" x14ac:dyDescent="0.3">
      <c r="B156" s="21">
        <v>79</v>
      </c>
      <c r="C156" s="22" t="s">
        <v>382</v>
      </c>
      <c r="D156" s="23" t="s">
        <v>383</v>
      </c>
      <c r="E156" s="23" t="s">
        <v>371</v>
      </c>
      <c r="F156" s="24">
        <v>5</v>
      </c>
      <c r="G156" s="25">
        <v>12</v>
      </c>
      <c r="H156" s="26">
        <f>F156 * G156 * 45.078755</f>
        <v>2704.7253000000001</v>
      </c>
      <c r="I156" s="26">
        <f t="shared" si="2"/>
        <v>0</v>
      </c>
      <c r="J156" s="26">
        <f t="shared" si="3"/>
        <v>0</v>
      </c>
      <c r="K156" s="26">
        <f>F156 * G156 * 42.923991</f>
        <v>2575.4394600000001</v>
      </c>
      <c r="L156" s="26">
        <f>F156 * G156 * 10.235451</f>
        <v>614.12705999999991</v>
      </c>
      <c r="M156" s="26">
        <f>F156 * G156 * 9.015751</f>
        <v>540.94506000000001</v>
      </c>
      <c r="N156" s="27">
        <f t="shared" si="4"/>
        <v>6435.2368799999995</v>
      </c>
      <c r="O156" s="28">
        <f>IF(O3&gt;0,N156/O3/12,0)</f>
        <v>5.6773954286077254E-2</v>
      </c>
    </row>
    <row r="157" spans="2:15" x14ac:dyDescent="0.3">
      <c r="B157" s="21">
        <v>80</v>
      </c>
      <c r="C157" s="22" t="s">
        <v>384</v>
      </c>
      <c r="D157" s="23" t="s">
        <v>385</v>
      </c>
      <c r="E157" s="23" t="s">
        <v>386</v>
      </c>
      <c r="F157" s="24">
        <v>45</v>
      </c>
      <c r="G157" s="25">
        <v>12</v>
      </c>
      <c r="H157" s="26">
        <f>F157 * G157 * 27.905896</f>
        <v>15069.18384</v>
      </c>
      <c r="I157" s="26">
        <f t="shared" si="2"/>
        <v>0</v>
      </c>
      <c r="J157" s="26">
        <f t="shared" si="3"/>
        <v>0</v>
      </c>
      <c r="K157" s="26">
        <f>F157 * G157 * 26.571994</f>
        <v>14348.876759999999</v>
      </c>
      <c r="L157" s="26">
        <f>F157 * G157 * 6.336231</f>
        <v>3421.5647399999998</v>
      </c>
      <c r="M157" s="26">
        <f>F157 * G157 * 5.581179</f>
        <v>3013.8366599999999</v>
      </c>
      <c r="N157" s="27">
        <f t="shared" si="4"/>
        <v>35853.462</v>
      </c>
      <c r="O157" s="28">
        <f>IF(O3&gt;0,N157/O3/12,0)</f>
        <v>0.3163120255777761</v>
      </c>
    </row>
    <row r="158" spans="2:15" x14ac:dyDescent="0.3">
      <c r="B158" s="21">
        <v>81</v>
      </c>
      <c r="C158" s="22" t="s">
        <v>387</v>
      </c>
      <c r="D158" s="23" t="s">
        <v>388</v>
      </c>
      <c r="E158" s="23" t="s">
        <v>386</v>
      </c>
      <c r="F158" s="24">
        <v>45</v>
      </c>
      <c r="G158" s="25">
        <v>12</v>
      </c>
      <c r="H158" s="26">
        <f>F158 * G158 * 15.026252</f>
        <v>8114.1760799999993</v>
      </c>
      <c r="I158" s="26">
        <f t="shared" si="2"/>
        <v>0</v>
      </c>
      <c r="J158" s="26">
        <f t="shared" si="3"/>
        <v>0</v>
      </c>
      <c r="K158" s="26">
        <f>F158 * G158 * 14.307997</f>
        <v>7726.3183800000006</v>
      </c>
      <c r="L158" s="26">
        <f>F158 * G158 * 3.411817</f>
        <v>1842.3811800000001</v>
      </c>
      <c r="M158" s="26">
        <f>F158 * G158 * 3.00525</f>
        <v>1622.835</v>
      </c>
      <c r="N158" s="27">
        <f t="shared" si="4"/>
        <v>19305.710639999998</v>
      </c>
      <c r="O158" s="28">
        <f>IF(O3&gt;0,N158/O3/12,0)</f>
        <v>0.17032186285823173</v>
      </c>
    </row>
    <row r="159" spans="2:15" ht="27.6" x14ac:dyDescent="0.3">
      <c r="B159" s="21">
        <v>82</v>
      </c>
      <c r="C159" s="22" t="s">
        <v>389</v>
      </c>
      <c r="D159" s="23" t="s">
        <v>390</v>
      </c>
      <c r="E159" s="23" t="s">
        <v>386</v>
      </c>
      <c r="F159" s="24">
        <v>45</v>
      </c>
      <c r="G159" s="25">
        <v>12</v>
      </c>
      <c r="H159" s="26">
        <f>F159 * G159 * 15.026252</f>
        <v>8114.1760799999993</v>
      </c>
      <c r="I159" s="26">
        <f t="shared" si="2"/>
        <v>0</v>
      </c>
      <c r="J159" s="26">
        <f t="shared" si="3"/>
        <v>0</v>
      </c>
      <c r="K159" s="26">
        <f>F159 * G159 * 14.307997</f>
        <v>7726.3183800000006</v>
      </c>
      <c r="L159" s="26">
        <f>F159 * G159 * 3.411817</f>
        <v>1842.3811800000001</v>
      </c>
      <c r="M159" s="26">
        <f>F159 * G159 * 3.00525</f>
        <v>1622.835</v>
      </c>
      <c r="N159" s="27">
        <f t="shared" si="4"/>
        <v>19305.710639999998</v>
      </c>
      <c r="O159" s="28">
        <f>IF(O3&gt;0,N159/O3/12,0)</f>
        <v>0.17032186285823173</v>
      </c>
    </row>
    <row r="160" spans="2:15" x14ac:dyDescent="0.3">
      <c r="B160" s="21">
        <v>83</v>
      </c>
      <c r="C160" s="22" t="s">
        <v>391</v>
      </c>
      <c r="D160" s="23" t="s">
        <v>392</v>
      </c>
      <c r="E160" s="23" t="s">
        <v>393</v>
      </c>
      <c r="F160" s="24">
        <v>5</v>
      </c>
      <c r="G160" s="25">
        <v>12</v>
      </c>
      <c r="H160" s="26">
        <f>F160 * G160 * 49.37197</f>
        <v>2962.3181999999997</v>
      </c>
      <c r="I160" s="26">
        <f t="shared" si="2"/>
        <v>0</v>
      </c>
      <c r="J160" s="26">
        <f t="shared" si="3"/>
        <v>0</v>
      </c>
      <c r="K160" s="26">
        <f>F160 * G160 * 47.01199</f>
        <v>2820.7194</v>
      </c>
      <c r="L160" s="26">
        <f>F160 * G160 * 11.210257</f>
        <v>672.61541999999997</v>
      </c>
      <c r="M160" s="26">
        <f>F160 * G160 * 9.874394</f>
        <v>592.46364000000005</v>
      </c>
      <c r="N160" s="27">
        <f t="shared" si="4"/>
        <v>7048.1166599999997</v>
      </c>
      <c r="O160" s="28">
        <f>IF(O3&gt;0,N160/O3/12,0)</f>
        <v>6.218099823199974E-2</v>
      </c>
    </row>
    <row r="161" spans="2:15" s="18" customFormat="1" ht="13.8" x14ac:dyDescent="0.3">
      <c r="B161" s="19"/>
      <c r="C161" s="20" t="s">
        <v>394</v>
      </c>
      <c r="D161" s="34" t="s">
        <v>395</v>
      </c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2:15" s="18" customFormat="1" ht="13.8" x14ac:dyDescent="0.3">
      <c r="B162" s="19"/>
      <c r="C162" s="20" t="s">
        <v>396</v>
      </c>
      <c r="D162" s="36" t="s">
        <v>397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</row>
    <row r="163" spans="2:15" ht="27.6" x14ac:dyDescent="0.3">
      <c r="B163" s="21">
        <v>84</v>
      </c>
      <c r="C163" s="22" t="s">
        <v>398</v>
      </c>
      <c r="D163" s="23" t="s">
        <v>399</v>
      </c>
      <c r="E163" s="23" t="s">
        <v>400</v>
      </c>
      <c r="F163" s="24">
        <v>5</v>
      </c>
      <c r="G163" s="25">
        <v>12</v>
      </c>
      <c r="H163" s="26">
        <f>F163 * G163 * 478.790394</f>
        <v>28727.423640000001</v>
      </c>
      <c r="I163" s="26">
        <f t="shared" ref="I163:I188" si="5">F163 * G163 * 0</f>
        <v>0</v>
      </c>
      <c r="J163" s="26">
        <f t="shared" ref="J163:J188" si="6">F163 * G163 * 0</f>
        <v>0</v>
      </c>
      <c r="K163" s="26">
        <f>F163 * G163 * 455.904213</f>
        <v>27354.252780000003</v>
      </c>
      <c r="L163" s="26">
        <f>F163 * G163 * 108.712758</f>
        <v>6522.76548</v>
      </c>
      <c r="M163" s="26">
        <f>F163 * G163 * 95.758079</f>
        <v>5745.4847399999999</v>
      </c>
      <c r="N163" s="27">
        <f t="shared" ref="N163:N188" si="7">SUM(H163:M163)</f>
        <v>68349.926640000005</v>
      </c>
      <c r="O163" s="28">
        <f>IF(O3&gt;0,N163/O3/12,0)</f>
        <v>0.60300742348370162</v>
      </c>
    </row>
    <row r="164" spans="2:15" x14ac:dyDescent="0.3">
      <c r="B164" s="21">
        <v>85</v>
      </c>
      <c r="C164" s="22" t="s">
        <v>401</v>
      </c>
      <c r="D164" s="23" t="s">
        <v>402</v>
      </c>
      <c r="E164" s="23" t="s">
        <v>371</v>
      </c>
      <c r="F164" s="24">
        <v>5</v>
      </c>
      <c r="G164" s="25">
        <v>12</v>
      </c>
      <c r="H164" s="26">
        <f>F164 * G164 * 121.436647</f>
        <v>7286.1988199999996</v>
      </c>
      <c r="I164" s="26">
        <f t="shared" si="5"/>
        <v>0</v>
      </c>
      <c r="J164" s="26">
        <f t="shared" si="6"/>
        <v>0</v>
      </c>
      <c r="K164" s="26">
        <f>F164 * G164 * 115.631976</f>
        <v>6937.9185600000001</v>
      </c>
      <c r="L164" s="26">
        <f>F164 * G164 * 27.573053</f>
        <v>1654.38318</v>
      </c>
      <c r="M164" s="26">
        <f>F164 * G164 * 24.287329</f>
        <v>1457.23974</v>
      </c>
      <c r="N164" s="27">
        <f t="shared" si="7"/>
        <v>17335.740300000001</v>
      </c>
      <c r="O164" s="28">
        <f>IF(O3&gt;0,N164/O3/12,0)</f>
        <v>0.15294208211143695</v>
      </c>
    </row>
    <row r="165" spans="2:15" x14ac:dyDescent="0.3">
      <c r="B165" s="21">
        <v>86</v>
      </c>
      <c r="C165" s="22" t="s">
        <v>403</v>
      </c>
      <c r="D165" s="23" t="s">
        <v>404</v>
      </c>
      <c r="E165" s="23" t="s">
        <v>386</v>
      </c>
      <c r="F165" s="24">
        <v>45</v>
      </c>
      <c r="G165" s="25">
        <v>12</v>
      </c>
      <c r="H165" s="26">
        <f>F165 * G165 * 68.046465</f>
        <v>36745.091099999998</v>
      </c>
      <c r="I165" s="26">
        <f t="shared" si="5"/>
        <v>0</v>
      </c>
      <c r="J165" s="26">
        <f t="shared" si="6"/>
        <v>0</v>
      </c>
      <c r="K165" s="26">
        <f>F165 * G165 * 64.793844</f>
        <v>34988.675760000006</v>
      </c>
      <c r="L165" s="26">
        <f>F165 * G165 * 15.450433</f>
        <v>8343.2338199999995</v>
      </c>
      <c r="M165" s="26">
        <f>F165 * G165 * 13.609293</f>
        <v>7349.0182199999999</v>
      </c>
      <c r="N165" s="27">
        <f t="shared" si="7"/>
        <v>87426.018899999995</v>
      </c>
      <c r="O165" s="28">
        <f>IF(O3&gt;0,N165/O3/12,0)</f>
        <v>0.77130351112146256</v>
      </c>
    </row>
    <row r="166" spans="2:15" x14ac:dyDescent="0.3">
      <c r="B166" s="21">
        <v>87</v>
      </c>
      <c r="C166" s="22" t="s">
        <v>405</v>
      </c>
      <c r="D166" s="23" t="s">
        <v>406</v>
      </c>
      <c r="E166" s="23" t="s">
        <v>386</v>
      </c>
      <c r="F166" s="24">
        <v>45</v>
      </c>
      <c r="G166" s="25">
        <v>12</v>
      </c>
      <c r="H166" s="26">
        <f>F166 * G166 * 235.772673</f>
        <v>127317.24342</v>
      </c>
      <c r="I166" s="26">
        <f t="shared" si="5"/>
        <v>0</v>
      </c>
      <c r="J166" s="26">
        <f t="shared" si="6"/>
        <v>0</v>
      </c>
      <c r="K166" s="26">
        <f>F166 * G166 * 224.502739</f>
        <v>121231.47906</v>
      </c>
      <c r="L166" s="26">
        <f>F166 * G166 * 53.53386</f>
        <v>28908.284399999997</v>
      </c>
      <c r="M166" s="26">
        <f>F166 * G166 * 47.154535</f>
        <v>25463.448900000003</v>
      </c>
      <c r="N166" s="27">
        <f t="shared" si="7"/>
        <v>302920.45578000002</v>
      </c>
      <c r="O166" s="28">
        <f>IF(O3&gt;0,N166/O3/12,0)</f>
        <v>2.6724722693924221</v>
      </c>
    </row>
    <row r="167" spans="2:15" x14ac:dyDescent="0.3">
      <c r="B167" s="21">
        <v>88</v>
      </c>
      <c r="C167" s="22" t="s">
        <v>407</v>
      </c>
      <c r="D167" s="23" t="s">
        <v>408</v>
      </c>
      <c r="E167" s="23" t="s">
        <v>386</v>
      </c>
      <c r="F167" s="24">
        <v>45</v>
      </c>
      <c r="G167" s="25">
        <v>12</v>
      </c>
      <c r="H167" s="26">
        <f>F167 * G167 * 172.646588</f>
        <v>93229.157520000008</v>
      </c>
      <c r="I167" s="26">
        <f t="shared" si="5"/>
        <v>0</v>
      </c>
      <c r="J167" s="26">
        <f t="shared" si="6"/>
        <v>0</v>
      </c>
      <c r="K167" s="26">
        <f>F167 * G167 * 164.394081</f>
        <v>88772.803740000003</v>
      </c>
      <c r="L167" s="26">
        <f>F167 * G167 * 39.200634</f>
        <v>21168.342359999999</v>
      </c>
      <c r="M167" s="26">
        <f>F167 * G167 * 34.529318</f>
        <v>18645.831720000002</v>
      </c>
      <c r="N167" s="27">
        <f t="shared" si="7"/>
        <v>221816.13534000004</v>
      </c>
      <c r="O167" s="28">
        <f>IF(O3&gt;0,N167/O3/12,0)</f>
        <v>1.9569410361328436</v>
      </c>
    </row>
    <row r="168" spans="2:15" x14ac:dyDescent="0.3">
      <c r="B168" s="21">
        <v>89</v>
      </c>
      <c r="C168" s="22" t="s">
        <v>409</v>
      </c>
      <c r="D168" s="23" t="s">
        <v>410</v>
      </c>
      <c r="E168" s="23" t="s">
        <v>411</v>
      </c>
      <c r="F168" s="24">
        <v>5</v>
      </c>
      <c r="G168" s="25">
        <v>12</v>
      </c>
      <c r="H168" s="26">
        <f>F168 * G168 * 219.877886</f>
        <v>13192.673159999998</v>
      </c>
      <c r="I168" s="26">
        <f t="shared" si="5"/>
        <v>0</v>
      </c>
      <c r="J168" s="26">
        <f t="shared" si="6"/>
        <v>0</v>
      </c>
      <c r="K168" s="26">
        <f>F168 * G168 * 209.367723</f>
        <v>12562.063380000001</v>
      </c>
      <c r="L168" s="26">
        <f>F168 * G168 * 49.924835</f>
        <v>2995.4901</v>
      </c>
      <c r="M168" s="26">
        <f>F168 * G168 * 43.975577</f>
        <v>2638.5346199999999</v>
      </c>
      <c r="N168" s="27">
        <f t="shared" si="7"/>
        <v>31388.761259999996</v>
      </c>
      <c r="O168" s="28">
        <f>IF(O3&gt;0,N168/O3/12,0)</f>
        <v>0.27692284372783377</v>
      </c>
    </row>
    <row r="169" spans="2:15" x14ac:dyDescent="0.3">
      <c r="B169" s="21">
        <v>90</v>
      </c>
      <c r="C169" s="22" t="s">
        <v>412</v>
      </c>
      <c r="D169" s="23" t="s">
        <v>413</v>
      </c>
      <c r="E169" s="23" t="s">
        <v>414</v>
      </c>
      <c r="F169" s="24">
        <v>5</v>
      </c>
      <c r="G169" s="25">
        <v>12</v>
      </c>
      <c r="H169" s="26">
        <f>F169 * G169 * 211.012497</f>
        <v>12660.749819999999</v>
      </c>
      <c r="I169" s="26">
        <f t="shared" si="5"/>
        <v>0</v>
      </c>
      <c r="J169" s="26">
        <f t="shared" si="6"/>
        <v>0</v>
      </c>
      <c r="K169" s="26">
        <f>F169 * G169 * 200.9261</f>
        <v>12055.565999999999</v>
      </c>
      <c r="L169" s="26">
        <f>F169 * G169 * 47.911885</f>
        <v>2874.7130999999999</v>
      </c>
      <c r="M169" s="26">
        <f>F169 * G169 * 42.202499</f>
        <v>2532.1499400000002</v>
      </c>
      <c r="N169" s="27">
        <f t="shared" si="7"/>
        <v>30123.178859999996</v>
      </c>
      <c r="O169" s="28">
        <f>IF(O3&gt;0,N169/O3/12,0)</f>
        <v>0.26575742454238432</v>
      </c>
    </row>
    <row r="170" spans="2:15" x14ac:dyDescent="0.3">
      <c r="B170" s="21">
        <v>91</v>
      </c>
      <c r="C170" s="22" t="s">
        <v>415</v>
      </c>
      <c r="D170" s="23" t="s">
        <v>416</v>
      </c>
      <c r="E170" s="23" t="s">
        <v>417</v>
      </c>
      <c r="F170" s="24">
        <v>5</v>
      </c>
      <c r="G170" s="25">
        <v>12</v>
      </c>
      <c r="H170" s="26">
        <f>F170 * G170 * 81.527556</f>
        <v>4891.6533600000002</v>
      </c>
      <c r="I170" s="26">
        <f t="shared" si="5"/>
        <v>0</v>
      </c>
      <c r="J170" s="26">
        <f t="shared" si="6"/>
        <v>0</v>
      </c>
      <c r="K170" s="26">
        <f>F170 * G170 * 77.630538</f>
        <v>4657.8322800000005</v>
      </c>
      <c r="L170" s="26">
        <f>F170 * G170 * 18.5114099999999</f>
        <v>1110.6845999999939</v>
      </c>
      <c r="M170" s="26">
        <f>F170 * G170 * 16.305511</f>
        <v>978.33065999999997</v>
      </c>
      <c r="N170" s="27">
        <f t="shared" si="7"/>
        <v>11638.500899999994</v>
      </c>
      <c r="O170" s="28">
        <f>IF(O3&gt;0,N170/O3/12,0)</f>
        <v>0.10267900473231199</v>
      </c>
    </row>
    <row r="171" spans="2:15" x14ac:dyDescent="0.3">
      <c r="B171" s="21">
        <v>92</v>
      </c>
      <c r="C171" s="22" t="s">
        <v>418</v>
      </c>
      <c r="D171" s="23" t="s">
        <v>419</v>
      </c>
      <c r="E171" s="23" t="s">
        <v>420</v>
      </c>
      <c r="F171" s="24">
        <v>5</v>
      </c>
      <c r="G171" s="25">
        <v>12</v>
      </c>
      <c r="H171" s="26">
        <f>F171 * G171 * 11.989346</f>
        <v>719.36075999999991</v>
      </c>
      <c r="I171" s="26">
        <f t="shared" si="5"/>
        <v>0</v>
      </c>
      <c r="J171" s="26">
        <f t="shared" si="6"/>
        <v>0</v>
      </c>
      <c r="K171" s="26">
        <f>F171 * G171 * 11.416255</f>
        <v>684.97529999999995</v>
      </c>
      <c r="L171" s="26">
        <f>F171 * G171 * 2.722266</f>
        <v>163.33596</v>
      </c>
      <c r="M171" s="26">
        <f>F171 * G171 * 2.397869</f>
        <v>143.87214</v>
      </c>
      <c r="N171" s="27">
        <f t="shared" si="7"/>
        <v>1711.5441599999999</v>
      </c>
      <c r="O171" s="28">
        <f>IF(O3&gt;0,N171/O3/12,0)</f>
        <v>1.5099852843092622E-2</v>
      </c>
    </row>
    <row r="172" spans="2:15" x14ac:dyDescent="0.3">
      <c r="B172" s="21">
        <v>93</v>
      </c>
      <c r="C172" s="22" t="s">
        <v>421</v>
      </c>
      <c r="D172" s="23" t="s">
        <v>422</v>
      </c>
      <c r="E172" s="23" t="s">
        <v>423</v>
      </c>
      <c r="F172" s="24">
        <v>5</v>
      </c>
      <c r="G172" s="25">
        <v>12</v>
      </c>
      <c r="H172" s="26">
        <f>F172 * G172 * 194.298636</f>
        <v>11657.918159999999</v>
      </c>
      <c r="I172" s="26">
        <f t="shared" si="5"/>
        <v>0</v>
      </c>
      <c r="J172" s="26">
        <f t="shared" si="6"/>
        <v>0</v>
      </c>
      <c r="K172" s="26">
        <f>F172 * G172 * 185.011161</f>
        <v>11100.66966</v>
      </c>
      <c r="L172" s="26">
        <f>F172 * G172 * 44.116885</f>
        <v>2647.0131000000001</v>
      </c>
      <c r="M172" s="26">
        <f>F172 * G172 * 38.859727</f>
        <v>2331.5836199999999</v>
      </c>
      <c r="N172" s="27">
        <f t="shared" si="7"/>
        <v>27737.184540000002</v>
      </c>
      <c r="O172" s="28">
        <f>IF(O3&gt;0,N172/O3/12,0)</f>
        <v>0.24470733190764052</v>
      </c>
    </row>
    <row r="173" spans="2:15" x14ac:dyDescent="0.3">
      <c r="B173" s="21">
        <v>94</v>
      </c>
      <c r="C173" s="22" t="s">
        <v>424</v>
      </c>
      <c r="D173" s="23" t="s">
        <v>425</v>
      </c>
      <c r="E173" s="23" t="s">
        <v>426</v>
      </c>
      <c r="F173" s="24">
        <v>5</v>
      </c>
      <c r="G173" s="25">
        <v>12</v>
      </c>
      <c r="H173" s="26">
        <f>F173 * G173 * 25.810728</f>
        <v>1548.6436800000001</v>
      </c>
      <c r="I173" s="26">
        <f t="shared" si="5"/>
        <v>0</v>
      </c>
      <c r="J173" s="26">
        <f t="shared" si="6"/>
        <v>0</v>
      </c>
      <c r="K173" s="26">
        <f>F173 * G173 * 24.576975</f>
        <v>1474.6185</v>
      </c>
      <c r="L173" s="26">
        <f>F173 * G173 * 5.860509</f>
        <v>351.63054</v>
      </c>
      <c r="M173" s="26">
        <f>F173 * G173 * 5.162146</f>
        <v>309.72875999999997</v>
      </c>
      <c r="N173" s="27">
        <f t="shared" si="7"/>
        <v>3684.6214800000002</v>
      </c>
      <c r="O173" s="28">
        <f>IF(O3&gt;0,N173/O3/12,0)</f>
        <v>3.2507044475263876E-2</v>
      </c>
    </row>
    <row r="174" spans="2:15" x14ac:dyDescent="0.3">
      <c r="B174" s="21">
        <v>95</v>
      </c>
      <c r="C174" s="22" t="s">
        <v>427</v>
      </c>
      <c r="D174" s="23" t="s">
        <v>428</v>
      </c>
      <c r="E174" s="23" t="s">
        <v>426</v>
      </c>
      <c r="F174" s="24">
        <v>5</v>
      </c>
      <c r="G174" s="25">
        <v>12</v>
      </c>
      <c r="H174" s="26">
        <f>F174 * G174 * 140.139038</f>
        <v>8408.3422800000008</v>
      </c>
      <c r="I174" s="26">
        <f t="shared" si="5"/>
        <v>0</v>
      </c>
      <c r="J174" s="26">
        <f t="shared" si="6"/>
        <v>0</v>
      </c>
      <c r="K174" s="26">
        <f>F174 * G174 * 133.440392</f>
        <v>8006.4235200000003</v>
      </c>
      <c r="L174" s="26">
        <f>F174 * G174 * 31.819563</f>
        <v>1909.1737799999999</v>
      </c>
      <c r="M174" s="26">
        <f>F174 * G174 * 28.027808</f>
        <v>1681.66848</v>
      </c>
      <c r="N174" s="27">
        <f t="shared" si="7"/>
        <v>20005.608060000002</v>
      </c>
      <c r="O174" s="28">
        <f>IF(O3&gt;0,N174/O3/12,0)</f>
        <v>0.17649660745100945</v>
      </c>
    </row>
    <row r="175" spans="2:15" x14ac:dyDescent="0.3">
      <c r="B175" s="21">
        <v>96</v>
      </c>
      <c r="C175" s="22" t="s">
        <v>429</v>
      </c>
      <c r="D175" s="23" t="s">
        <v>430</v>
      </c>
      <c r="E175" s="23" t="s">
        <v>376</v>
      </c>
      <c r="F175" s="24">
        <v>5</v>
      </c>
      <c r="G175" s="25">
        <v>12</v>
      </c>
      <c r="H175" s="26">
        <f>F175 * G175 * 244.582667</f>
        <v>14674.960019999999</v>
      </c>
      <c r="I175" s="26">
        <f t="shared" si="5"/>
        <v>0</v>
      </c>
      <c r="J175" s="26">
        <f t="shared" si="6"/>
        <v>0</v>
      </c>
      <c r="K175" s="26">
        <f>F175 * G175 * 232.891616</f>
        <v>13973.49696</v>
      </c>
      <c r="L175" s="26">
        <f>F175 * G175 * 55.534231</f>
        <v>3332.05386</v>
      </c>
      <c r="M175" s="26">
        <f>F175 * G175 * 48.916533</f>
        <v>2934.9919800000002</v>
      </c>
      <c r="N175" s="27">
        <f t="shared" si="7"/>
        <v>34915.502820000002</v>
      </c>
      <c r="O175" s="28">
        <f>IF(O3&gt;0,N175/O3/12,0)</f>
        <v>0.30803701525561894</v>
      </c>
    </row>
    <row r="176" spans="2:15" x14ac:dyDescent="0.3">
      <c r="B176" s="21">
        <v>97</v>
      </c>
      <c r="C176" s="22" t="s">
        <v>431</v>
      </c>
      <c r="D176" s="23" t="s">
        <v>432</v>
      </c>
      <c r="E176" s="23" t="s">
        <v>376</v>
      </c>
      <c r="F176" s="24">
        <v>5</v>
      </c>
      <c r="G176" s="25">
        <v>12</v>
      </c>
      <c r="H176" s="26">
        <f>F176 * G176 * 160.657242</f>
        <v>9639.4345199999989</v>
      </c>
      <c r="I176" s="26">
        <f t="shared" si="5"/>
        <v>0</v>
      </c>
      <c r="J176" s="26">
        <f t="shared" si="6"/>
        <v>0</v>
      </c>
      <c r="K176" s="26">
        <f>F176 * G176 * 152.977826</f>
        <v>9178.6695600000003</v>
      </c>
      <c r="L176" s="26">
        <f>F176 * G176 * 36.478368</f>
        <v>2188.70208</v>
      </c>
      <c r="M176" s="26">
        <f>F176 * G176 * 32.131448</f>
        <v>1927.88688</v>
      </c>
      <c r="N176" s="27">
        <f t="shared" si="7"/>
        <v>22934.693039999998</v>
      </c>
      <c r="O176" s="28">
        <f>IF(O3&gt;0,N176/O3/12,0)</f>
        <v>0.20233803953121524</v>
      </c>
    </row>
    <row r="177" spans="2:15" x14ac:dyDescent="0.3">
      <c r="B177" s="21">
        <v>98</v>
      </c>
      <c r="C177" s="22" t="s">
        <v>433</v>
      </c>
      <c r="D177" s="23" t="s">
        <v>434</v>
      </c>
      <c r="E177" s="23" t="s">
        <v>376</v>
      </c>
      <c r="F177" s="24">
        <v>5</v>
      </c>
      <c r="G177" s="25">
        <v>12</v>
      </c>
      <c r="H177" s="26">
        <f>F177 * G177 * 81.527556</f>
        <v>4891.6533600000002</v>
      </c>
      <c r="I177" s="26">
        <f t="shared" si="5"/>
        <v>0</v>
      </c>
      <c r="J177" s="26">
        <f t="shared" si="6"/>
        <v>0</v>
      </c>
      <c r="K177" s="26">
        <f>F177 * G177 * 77.630538</f>
        <v>4657.8322800000005</v>
      </c>
      <c r="L177" s="26">
        <f>F177 * G177 * 18.5114099999999</f>
        <v>1110.6845999999939</v>
      </c>
      <c r="M177" s="26">
        <f>F177 * G177 * 16.305511</f>
        <v>978.33065999999997</v>
      </c>
      <c r="N177" s="27">
        <f t="shared" si="7"/>
        <v>11638.500899999994</v>
      </c>
      <c r="O177" s="28">
        <f>IF(O3&gt;0,N177/O3/12,0)</f>
        <v>0.10267900473231199</v>
      </c>
    </row>
    <row r="178" spans="2:15" x14ac:dyDescent="0.3">
      <c r="B178" s="21">
        <v>99</v>
      </c>
      <c r="C178" s="22" t="s">
        <v>435</v>
      </c>
      <c r="D178" s="23" t="s">
        <v>436</v>
      </c>
      <c r="E178" s="23" t="s">
        <v>437</v>
      </c>
      <c r="F178" s="24">
        <v>5</v>
      </c>
      <c r="G178" s="25">
        <v>12</v>
      </c>
      <c r="H178" s="26">
        <f>F178 * G178 * 182.79005</f>
        <v>10967.403</v>
      </c>
      <c r="I178" s="26">
        <f t="shared" si="5"/>
        <v>0</v>
      </c>
      <c r="J178" s="26">
        <f t="shared" si="6"/>
        <v>0</v>
      </c>
      <c r="K178" s="26">
        <f>F178 * G178 * 174.052686</f>
        <v>10443.16116</v>
      </c>
      <c r="L178" s="26">
        <f>F178 * G178 * 41.503779</f>
        <v>2490.2267400000001</v>
      </c>
      <c r="M178" s="26">
        <f>F178 * G178 * 36.55801</f>
        <v>2193.4806000000003</v>
      </c>
      <c r="N178" s="27">
        <f t="shared" si="7"/>
        <v>26094.271499999999</v>
      </c>
      <c r="O178" s="28">
        <f>IF(O3&gt;0,N178/O3/12,0)</f>
        <v>0.23021296727611504</v>
      </c>
    </row>
    <row r="179" spans="2:15" x14ac:dyDescent="0.3">
      <c r="B179" s="21">
        <v>100</v>
      </c>
      <c r="C179" s="22" t="s">
        <v>438</v>
      </c>
      <c r="D179" s="23" t="s">
        <v>439</v>
      </c>
      <c r="E179" s="23" t="s">
        <v>161</v>
      </c>
      <c r="F179" s="24">
        <v>5</v>
      </c>
      <c r="G179" s="25">
        <v>12</v>
      </c>
      <c r="H179" s="26">
        <f>F179 * G179 * 374.067608</f>
        <v>22444.056479999999</v>
      </c>
      <c r="I179" s="26">
        <f t="shared" si="5"/>
        <v>0</v>
      </c>
      <c r="J179" s="26">
        <f t="shared" si="6"/>
        <v>0</v>
      </c>
      <c r="K179" s="26">
        <f>F179 * G179 * 356.187176</f>
        <v>21371.23056</v>
      </c>
      <c r="L179" s="26">
        <f>F179 * G179 * 84.9347069999999</f>
        <v>5096.0824199999943</v>
      </c>
      <c r="M179" s="26">
        <f>F179 * G179 * 74.813522</f>
        <v>4488.8113200000007</v>
      </c>
      <c r="N179" s="27">
        <f t="shared" si="7"/>
        <v>53400.180779999988</v>
      </c>
      <c r="O179" s="28">
        <f>IF(O3&gt;0,N179/O3/12,0)</f>
        <v>0.47111543506569115</v>
      </c>
    </row>
    <row r="180" spans="2:15" x14ac:dyDescent="0.3">
      <c r="B180" s="21">
        <v>101</v>
      </c>
      <c r="C180" s="22" t="s">
        <v>440</v>
      </c>
      <c r="D180" s="23" t="s">
        <v>441</v>
      </c>
      <c r="E180" s="23" t="s">
        <v>442</v>
      </c>
      <c r="F180" s="24">
        <v>10</v>
      </c>
      <c r="G180" s="25">
        <v>12</v>
      </c>
      <c r="H180" s="26">
        <f>F180 * G180 * 75.085755</f>
        <v>9010.2906000000003</v>
      </c>
      <c r="I180" s="26">
        <f t="shared" si="5"/>
        <v>0</v>
      </c>
      <c r="J180" s="26">
        <f t="shared" si="6"/>
        <v>0</v>
      </c>
      <c r="K180" s="26">
        <f>F180 * G180 * 71.496656</f>
        <v>8579.59872</v>
      </c>
      <c r="L180" s="26">
        <f>F180 * G180 * 17.048754</f>
        <v>2045.8504799999998</v>
      </c>
      <c r="M180" s="26">
        <f>F180 * G180 * 15.017151</f>
        <v>1802.0581199999999</v>
      </c>
      <c r="N180" s="27">
        <f t="shared" si="7"/>
        <v>21437.797920000005</v>
      </c>
      <c r="O180" s="28">
        <f>IF(O3&gt;0,N180/O3/12,0)</f>
        <v>0.18913189705368583</v>
      </c>
    </row>
    <row r="181" spans="2:15" x14ac:dyDescent="0.3">
      <c r="B181" s="21">
        <v>102</v>
      </c>
      <c r="C181" s="22" t="s">
        <v>443</v>
      </c>
      <c r="D181" s="23" t="s">
        <v>444</v>
      </c>
      <c r="E181" s="23" t="s">
        <v>445</v>
      </c>
      <c r="F181" s="24">
        <v>10</v>
      </c>
      <c r="G181" s="25">
        <v>12</v>
      </c>
      <c r="H181" s="26">
        <f>F181 * G181 * 21.117869</f>
        <v>2534.14428</v>
      </c>
      <c r="I181" s="26">
        <f t="shared" si="5"/>
        <v>0</v>
      </c>
      <c r="J181" s="26">
        <f t="shared" si="6"/>
        <v>0</v>
      </c>
      <c r="K181" s="26">
        <f>F181 * G181 * 20.108435</f>
        <v>2413.0122000000001</v>
      </c>
      <c r="L181" s="26">
        <f>F181 * G181 * 4.794962</f>
        <v>575.39544000000001</v>
      </c>
      <c r="M181" s="26">
        <f>F181 * G181 * 4.223574</f>
        <v>506.82888000000003</v>
      </c>
      <c r="N181" s="27">
        <f t="shared" si="7"/>
        <v>6029.3807999999999</v>
      </c>
      <c r="O181" s="28">
        <f>IF(O3&gt;0,N181/O3/12,0)</f>
        <v>5.3193347237367267E-2</v>
      </c>
    </row>
    <row r="182" spans="2:15" x14ac:dyDescent="0.3">
      <c r="B182" s="21">
        <v>103</v>
      </c>
      <c r="C182" s="22" t="s">
        <v>446</v>
      </c>
      <c r="D182" s="23" t="s">
        <v>447</v>
      </c>
      <c r="E182" s="23" t="s">
        <v>448</v>
      </c>
      <c r="F182" s="24">
        <v>45</v>
      </c>
      <c r="G182" s="25">
        <v>12</v>
      </c>
      <c r="H182" s="26">
        <f>F182 * G182 * 61.007176</f>
        <v>32943.875039999999</v>
      </c>
      <c r="I182" s="26">
        <f t="shared" si="5"/>
        <v>0</v>
      </c>
      <c r="J182" s="26">
        <f t="shared" si="6"/>
        <v>0</v>
      </c>
      <c r="K182" s="26">
        <f>F182 * G182 * 58.0910329999999</f>
        <v>31369.157819999946</v>
      </c>
      <c r="L182" s="26">
        <f>F182 * G182 * 13.852112</f>
        <v>7480.14048</v>
      </c>
      <c r="M182" s="26">
        <f>F182 * G182 * 12.201435</f>
        <v>6588.7749000000003</v>
      </c>
      <c r="N182" s="27">
        <f t="shared" si="7"/>
        <v>78381.948239999954</v>
      </c>
      <c r="O182" s="28">
        <f>IF(O3&gt;0,N182/O3/12,0)</f>
        <v>0.69151349502948378</v>
      </c>
    </row>
    <row r="183" spans="2:15" x14ac:dyDescent="0.3">
      <c r="B183" s="21">
        <v>104</v>
      </c>
      <c r="C183" s="22" t="s">
        <v>449</v>
      </c>
      <c r="D183" s="23" t="s">
        <v>450</v>
      </c>
      <c r="E183" s="23" t="s">
        <v>420</v>
      </c>
      <c r="F183" s="24">
        <v>5</v>
      </c>
      <c r="G183" s="25">
        <v>12</v>
      </c>
      <c r="H183" s="26">
        <f>F183 * G183 * 175.044457</f>
        <v>10502.66742</v>
      </c>
      <c r="I183" s="26">
        <f t="shared" si="5"/>
        <v>0</v>
      </c>
      <c r="J183" s="26">
        <f t="shared" si="6"/>
        <v>0</v>
      </c>
      <c r="K183" s="26">
        <f>F183 * G183 * 166.677332</f>
        <v>10000.63992</v>
      </c>
      <c r="L183" s="26">
        <f>F183 * G183 * 39.745086</f>
        <v>2384.70516</v>
      </c>
      <c r="M183" s="26">
        <f>F183 * G183 * 35.008891</f>
        <v>2100.5334600000001</v>
      </c>
      <c r="N183" s="27">
        <f t="shared" si="7"/>
        <v>24988.545959999999</v>
      </c>
      <c r="O183" s="28">
        <f>IF(O3&gt;0,N183/O3/12,0)</f>
        <v>0.22045786230771672</v>
      </c>
    </row>
    <row r="184" spans="2:15" x14ac:dyDescent="0.3">
      <c r="B184" s="21">
        <v>105</v>
      </c>
      <c r="C184" s="22" t="s">
        <v>451</v>
      </c>
      <c r="D184" s="23" t="s">
        <v>452</v>
      </c>
      <c r="E184" s="23" t="s">
        <v>453</v>
      </c>
      <c r="F184" s="24">
        <v>10</v>
      </c>
      <c r="G184" s="25">
        <v>12</v>
      </c>
      <c r="H184" s="26">
        <f>F184 * G184 * 40.763778</f>
        <v>4891.6533600000002</v>
      </c>
      <c r="I184" s="26">
        <f t="shared" si="5"/>
        <v>0</v>
      </c>
      <c r="J184" s="26">
        <f t="shared" si="6"/>
        <v>0</v>
      </c>
      <c r="K184" s="26">
        <f>F184 * G184 * 38.81527</f>
        <v>4657.8323999999993</v>
      </c>
      <c r="L184" s="26">
        <f>F184 * G184 * 9.25570499999999</f>
        <v>1110.6845999999989</v>
      </c>
      <c r="M184" s="26">
        <f>F184 * G184 * 8.152756</f>
        <v>978.33072000000004</v>
      </c>
      <c r="N184" s="27">
        <f t="shared" si="7"/>
        <v>11638.501079999998</v>
      </c>
      <c r="O184" s="28">
        <f>IF(O3&gt;0,N184/O3/12,0)</f>
        <v>0.10267900632033622</v>
      </c>
    </row>
    <row r="185" spans="2:15" x14ac:dyDescent="0.3">
      <c r="B185" s="21">
        <v>106</v>
      </c>
      <c r="C185" s="22" t="s">
        <v>454</v>
      </c>
      <c r="D185" s="23" t="s">
        <v>455</v>
      </c>
      <c r="E185" s="23" t="s">
        <v>456</v>
      </c>
      <c r="F185" s="24">
        <v>5</v>
      </c>
      <c r="G185" s="25">
        <v>12</v>
      </c>
      <c r="H185" s="26">
        <f>F185 * G185 * 117.495595</f>
        <v>7049.7356999999993</v>
      </c>
      <c r="I185" s="26">
        <f t="shared" si="5"/>
        <v>0</v>
      </c>
      <c r="J185" s="26">
        <f t="shared" si="6"/>
        <v>0</v>
      </c>
      <c r="K185" s="26">
        <f>F185 * G185 * 111.879305999999</f>
        <v>6712.7583599999407</v>
      </c>
      <c r="L185" s="26">
        <f>F185 * G185 * 26.678209</f>
        <v>1600.69254</v>
      </c>
      <c r="M185" s="26">
        <f>F185 * G185 * 23.499119</f>
        <v>1409.94714</v>
      </c>
      <c r="N185" s="27">
        <f t="shared" si="7"/>
        <v>16773.133739999939</v>
      </c>
      <c r="O185" s="28">
        <f>IF(O3&gt;0,N185/O3/12,0)</f>
        <v>0.14797856643763774</v>
      </c>
    </row>
    <row r="186" spans="2:15" x14ac:dyDescent="0.3">
      <c r="B186" s="21">
        <v>107</v>
      </c>
      <c r="C186" s="22" t="s">
        <v>457</v>
      </c>
      <c r="D186" s="23" t="s">
        <v>458</v>
      </c>
      <c r="E186" s="23" t="s">
        <v>456</v>
      </c>
      <c r="F186" s="24">
        <v>5</v>
      </c>
      <c r="G186" s="25">
        <v>12</v>
      </c>
      <c r="H186" s="26">
        <f>F186 * G186 * 38.365908</f>
        <v>2301.9544799999999</v>
      </c>
      <c r="I186" s="26">
        <f t="shared" si="5"/>
        <v>0</v>
      </c>
      <c r="J186" s="26">
        <f t="shared" si="6"/>
        <v>0</v>
      </c>
      <c r="K186" s="26">
        <f>F186 * G186 * 36.532017</f>
        <v>2191.9210200000002</v>
      </c>
      <c r="L186" s="26">
        <f>F186 * G186 * 8.711252</f>
        <v>522.67511999999999</v>
      </c>
      <c r="M186" s="26">
        <f>F186 * G186 * 7.673182</f>
        <v>460.39091999999999</v>
      </c>
      <c r="N186" s="27">
        <f t="shared" si="7"/>
        <v>5476.9415399999998</v>
      </c>
      <c r="O186" s="28">
        <f>IF(O3&gt;0,N186/O3/12,0)</f>
        <v>4.8319531109393687E-2</v>
      </c>
    </row>
    <row r="187" spans="2:15" x14ac:dyDescent="0.3">
      <c r="B187" s="21">
        <v>108</v>
      </c>
      <c r="C187" s="22" t="s">
        <v>459</v>
      </c>
      <c r="D187" s="23" t="s">
        <v>460</v>
      </c>
      <c r="E187" s="23" t="s">
        <v>461</v>
      </c>
      <c r="F187" s="24">
        <v>5</v>
      </c>
      <c r="G187" s="25">
        <v>1</v>
      </c>
      <c r="H187" s="26">
        <f>F187 * G187 * 86.323294</f>
        <v>431.61647000000005</v>
      </c>
      <c r="I187" s="26">
        <f t="shared" si="5"/>
        <v>0</v>
      </c>
      <c r="J187" s="26">
        <f t="shared" si="6"/>
        <v>0</v>
      </c>
      <c r="K187" s="26">
        <f>F187 * G187 * 82.19704</f>
        <v>410.98520000000002</v>
      </c>
      <c r="L187" s="26">
        <f>F187 * G187 * 19.600317</f>
        <v>98.001585000000006</v>
      </c>
      <c r="M187" s="26">
        <f>F187 * G187 * 17.264659</f>
        <v>86.323295000000002</v>
      </c>
      <c r="N187" s="27">
        <f t="shared" si="7"/>
        <v>1026.9265499999999</v>
      </c>
      <c r="O187" s="28">
        <f>IF(O3&gt;0,N187/O3/12,0)</f>
        <v>9.0599121822628279E-3</v>
      </c>
    </row>
    <row r="188" spans="2:15" x14ac:dyDescent="0.3">
      <c r="B188" s="21">
        <v>109</v>
      </c>
      <c r="C188" s="22" t="s">
        <v>462</v>
      </c>
      <c r="D188" s="23" t="s">
        <v>463</v>
      </c>
      <c r="E188" s="23" t="s">
        <v>464</v>
      </c>
      <c r="F188" s="24">
        <v>5</v>
      </c>
      <c r="G188" s="25">
        <v>12</v>
      </c>
      <c r="H188" s="26">
        <f>F188 * G188 * 86.323294</f>
        <v>5179.3976400000001</v>
      </c>
      <c r="I188" s="26">
        <f t="shared" si="5"/>
        <v>0</v>
      </c>
      <c r="J188" s="26">
        <f t="shared" si="6"/>
        <v>0</v>
      </c>
      <c r="K188" s="26">
        <f>F188 * G188 * 82.19704</f>
        <v>4931.8224</v>
      </c>
      <c r="L188" s="26">
        <f>F188 * G188 * 19.600317</f>
        <v>1176.01902</v>
      </c>
      <c r="M188" s="26">
        <f>F188 * G188 * 17.264659</f>
        <v>1035.8795400000001</v>
      </c>
      <c r="N188" s="27">
        <f t="shared" si="7"/>
        <v>12323.1186</v>
      </c>
      <c r="O188" s="28">
        <f>IF(O3&gt;0,N188/O3/12,0)</f>
        <v>0.10871894618715394</v>
      </c>
    </row>
    <row r="189" spans="2:15" s="18" customFormat="1" ht="13.8" x14ac:dyDescent="0.3">
      <c r="B189" s="19"/>
      <c r="C189" s="20" t="s">
        <v>465</v>
      </c>
      <c r="D189" s="36" t="s">
        <v>466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</row>
    <row r="190" spans="2:15" x14ac:dyDescent="0.3">
      <c r="B190" s="21">
        <v>110</v>
      </c>
      <c r="C190" s="22" t="s">
        <v>467</v>
      </c>
      <c r="D190" s="23" t="s">
        <v>468</v>
      </c>
      <c r="E190" s="23" t="s">
        <v>469</v>
      </c>
      <c r="F190" s="24">
        <v>5</v>
      </c>
      <c r="G190" s="25">
        <v>12</v>
      </c>
      <c r="H190" s="26">
        <f>F190 * G190 * 131.400071</f>
        <v>7884.0042599999997</v>
      </c>
      <c r="I190" s="26">
        <f t="shared" ref="I190:I204" si="8">F190 * G190 * 0</f>
        <v>0</v>
      </c>
      <c r="J190" s="26">
        <f t="shared" ref="J190:J204" si="9">F190 * G190 * 0</f>
        <v>0</v>
      </c>
      <c r="K190" s="26">
        <f>F190 * G190 * 125.119147</f>
        <v>7507.1488200000003</v>
      </c>
      <c r="L190" s="26">
        <f>F190 * G190 * 29.835319</f>
        <v>1790.1191399999998</v>
      </c>
      <c r="M190" s="26">
        <f>F190 * G190 * 26.280014</f>
        <v>1576.8008400000001</v>
      </c>
      <c r="N190" s="27">
        <f t="shared" ref="N190:N204" si="10">SUM(H190:M190)</f>
        <v>18758.073059999999</v>
      </c>
      <c r="O190" s="28">
        <f>IF(O3&gt;0,N190/O3/12,0)</f>
        <v>0.16549040886329228</v>
      </c>
    </row>
    <row r="191" spans="2:15" x14ac:dyDescent="0.3">
      <c r="B191" s="21">
        <v>111</v>
      </c>
      <c r="C191" s="22" t="s">
        <v>470</v>
      </c>
      <c r="D191" s="23" t="s">
        <v>471</v>
      </c>
      <c r="E191" s="23" t="s">
        <v>472</v>
      </c>
      <c r="F191" s="24">
        <v>5</v>
      </c>
      <c r="G191" s="25">
        <v>12</v>
      </c>
      <c r="H191" s="26">
        <f>F191 * G191 * 119.539323</f>
        <v>7172.3593799999999</v>
      </c>
      <c r="I191" s="26">
        <f t="shared" si="8"/>
        <v>0</v>
      </c>
      <c r="J191" s="26">
        <f t="shared" si="9"/>
        <v>0</v>
      </c>
      <c r="K191" s="26">
        <f>F191 * G191 * 113.825343</f>
        <v>6829.5205800000003</v>
      </c>
      <c r="L191" s="26">
        <f>F191 * G191 * 27.142252</f>
        <v>1628.53512</v>
      </c>
      <c r="M191" s="26">
        <f>F191 * G191 * 23.907865</f>
        <v>1434.4719</v>
      </c>
      <c r="N191" s="27">
        <f t="shared" si="10"/>
        <v>17064.886979999999</v>
      </c>
      <c r="O191" s="28">
        <f>IF(O3&gt;0,N191/O3/12,0)</f>
        <v>0.15055251754766716</v>
      </c>
    </row>
    <row r="192" spans="2:15" x14ac:dyDescent="0.3">
      <c r="B192" s="21">
        <v>112</v>
      </c>
      <c r="C192" s="22" t="s">
        <v>473</v>
      </c>
      <c r="D192" s="23" t="s">
        <v>474</v>
      </c>
      <c r="E192" s="23" t="s">
        <v>475</v>
      </c>
      <c r="F192" s="24">
        <v>5</v>
      </c>
      <c r="G192" s="25">
        <v>12</v>
      </c>
      <c r="H192" s="26">
        <f>F192 * G192 * 184.635935</f>
        <v>11078.1561</v>
      </c>
      <c r="I192" s="26">
        <f t="shared" si="8"/>
        <v>0</v>
      </c>
      <c r="J192" s="26">
        <f t="shared" si="9"/>
        <v>0</v>
      </c>
      <c r="K192" s="26">
        <f>F192 * G192 * 175.810338</f>
        <v>10548.620279999999</v>
      </c>
      <c r="L192" s="26">
        <f>F192 * G192 * 41.9229</f>
        <v>2515.3739999999998</v>
      </c>
      <c r="M192" s="26">
        <f>F192 * G192 * 36.927187</f>
        <v>2215.6312200000002</v>
      </c>
      <c r="N192" s="27">
        <f t="shared" si="10"/>
        <v>26357.781599999998</v>
      </c>
      <c r="O192" s="28">
        <f>IF(O3&gt;0,N192/O3/12,0)</f>
        <v>0.23253774733476607</v>
      </c>
    </row>
    <row r="193" spans="2:15" x14ac:dyDescent="0.3">
      <c r="B193" s="21">
        <v>113</v>
      </c>
      <c r="C193" s="22" t="s">
        <v>476</v>
      </c>
      <c r="D193" s="23" t="s">
        <v>477</v>
      </c>
      <c r="E193" s="23" t="s">
        <v>478</v>
      </c>
      <c r="F193" s="24">
        <v>5</v>
      </c>
      <c r="G193" s="25">
        <v>12</v>
      </c>
      <c r="H193" s="26">
        <f>F193 * G193 * 1282.474269</f>
        <v>76948.456140000009</v>
      </c>
      <c r="I193" s="26">
        <f t="shared" si="8"/>
        <v>0</v>
      </c>
      <c r="J193" s="26">
        <f t="shared" si="9"/>
        <v>0</v>
      </c>
      <c r="K193" s="26">
        <f>F193 * G193 * 1221.171999</f>
        <v>73270.319940000001</v>
      </c>
      <c r="L193" s="26">
        <f>F193 * G193 * 291.194889</f>
        <v>17471.693339999998</v>
      </c>
      <c r="M193" s="26">
        <f>F193 * G193 * 256.494854</f>
        <v>15389.691239999998</v>
      </c>
      <c r="N193" s="27">
        <f t="shared" si="10"/>
        <v>183080.16065999999</v>
      </c>
      <c r="O193" s="28">
        <f>IF(O3&gt;0,N193/O3/12,0)</f>
        <v>1.6151984559111552</v>
      </c>
    </row>
    <row r="194" spans="2:15" x14ac:dyDescent="0.3">
      <c r="B194" s="21">
        <v>114</v>
      </c>
      <c r="C194" s="22" t="s">
        <v>479</v>
      </c>
      <c r="D194" s="23" t="s">
        <v>480</v>
      </c>
      <c r="E194" s="23" t="s">
        <v>481</v>
      </c>
      <c r="F194" s="24">
        <v>5</v>
      </c>
      <c r="G194" s="25">
        <v>12</v>
      </c>
      <c r="H194" s="26">
        <f>F194 * G194 * 50.355255</f>
        <v>3021.3153000000002</v>
      </c>
      <c r="I194" s="26">
        <f t="shared" si="8"/>
        <v>0</v>
      </c>
      <c r="J194" s="26">
        <f t="shared" si="9"/>
        <v>0</v>
      </c>
      <c r="K194" s="26">
        <f>F194 * G194 * 47.948274</f>
        <v>2876.89644</v>
      </c>
      <c r="L194" s="26">
        <f>F194 * G194 * 11.433518</f>
        <v>686.01107999999999</v>
      </c>
      <c r="M194" s="26">
        <f>F194 * G194 * 10.071051</f>
        <v>604.26306</v>
      </c>
      <c r="N194" s="27">
        <f t="shared" si="10"/>
        <v>7188.4858800000011</v>
      </c>
      <c r="O194" s="28">
        <f>IF(O3&gt;0,N194/O3/12,0)</f>
        <v>6.3419385540510506E-2</v>
      </c>
    </row>
    <row r="195" spans="2:15" x14ac:dyDescent="0.3">
      <c r="B195" s="21">
        <v>115</v>
      </c>
      <c r="C195" s="22" t="s">
        <v>482</v>
      </c>
      <c r="D195" s="23" t="s">
        <v>483</v>
      </c>
      <c r="E195" s="23" t="s">
        <v>484</v>
      </c>
      <c r="F195" s="24">
        <v>5</v>
      </c>
      <c r="G195" s="25">
        <v>12</v>
      </c>
      <c r="H195" s="26">
        <f>F195 * G195 * 68.046465</f>
        <v>4082.7878999999998</v>
      </c>
      <c r="I195" s="26">
        <f t="shared" si="8"/>
        <v>0</v>
      </c>
      <c r="J195" s="26">
        <f t="shared" si="9"/>
        <v>0</v>
      </c>
      <c r="K195" s="26">
        <f>F195 * G195 * 64.793844</f>
        <v>3887.6306400000003</v>
      </c>
      <c r="L195" s="26">
        <f>F195 * G195 * 15.450433</f>
        <v>927.02598</v>
      </c>
      <c r="M195" s="26">
        <f>F195 * G195 * 13.609293</f>
        <v>816.55757999999992</v>
      </c>
      <c r="N195" s="27">
        <f t="shared" si="10"/>
        <v>9714.0021000000015</v>
      </c>
      <c r="O195" s="28">
        <f>IF(O3&gt;0,N195/O3/12,0)</f>
        <v>8.5700390124606965E-2</v>
      </c>
    </row>
    <row r="196" spans="2:15" ht="27.6" x14ac:dyDescent="0.3">
      <c r="B196" s="21">
        <v>116</v>
      </c>
      <c r="C196" s="22" t="s">
        <v>485</v>
      </c>
      <c r="D196" s="23" t="s">
        <v>486</v>
      </c>
      <c r="E196" s="23" t="s">
        <v>453</v>
      </c>
      <c r="F196" s="24">
        <v>25</v>
      </c>
      <c r="G196" s="25">
        <v>12</v>
      </c>
      <c r="H196" s="26">
        <f>F196 * G196 * 40.763778</f>
        <v>12229.133400000001</v>
      </c>
      <c r="I196" s="26">
        <f t="shared" si="8"/>
        <v>0</v>
      </c>
      <c r="J196" s="26">
        <f t="shared" si="9"/>
        <v>0</v>
      </c>
      <c r="K196" s="26">
        <f>F196 * G196 * 38.81527</f>
        <v>11644.581</v>
      </c>
      <c r="L196" s="26">
        <f>F196 * G196 * 9.25570499999999</f>
        <v>2776.7114999999972</v>
      </c>
      <c r="M196" s="26">
        <f>F196 * G196 * 8.152756</f>
        <v>2445.8267999999998</v>
      </c>
      <c r="N196" s="27">
        <f t="shared" si="10"/>
        <v>29096.252699999997</v>
      </c>
      <c r="O196" s="28">
        <f>IF(O3&gt;0,N196/O3/12,0)</f>
        <v>0.25669751580084055</v>
      </c>
    </row>
    <row r="197" spans="2:15" x14ac:dyDescent="0.3">
      <c r="B197" s="21">
        <v>117</v>
      </c>
      <c r="C197" s="22" t="s">
        <v>487</v>
      </c>
      <c r="D197" s="23" t="s">
        <v>488</v>
      </c>
      <c r="E197" s="23" t="s">
        <v>489</v>
      </c>
      <c r="F197" s="24">
        <v>15</v>
      </c>
      <c r="G197" s="25">
        <v>12</v>
      </c>
      <c r="H197" s="26">
        <f>F197 * G197 * 93.857194</f>
        <v>16894.29492</v>
      </c>
      <c r="I197" s="26">
        <f t="shared" si="8"/>
        <v>0</v>
      </c>
      <c r="J197" s="26">
        <f t="shared" si="9"/>
        <v>0</v>
      </c>
      <c r="K197" s="26">
        <f>F197 * G197 * 89.37082</f>
        <v>16086.747599999999</v>
      </c>
      <c r="L197" s="26">
        <f>F197 * G197 * 21.3109419999999</f>
        <v>3835.9695599999823</v>
      </c>
      <c r="M197" s="26">
        <f>F197 * G197 * 18.771439</f>
        <v>3378.8590200000003</v>
      </c>
      <c r="N197" s="27">
        <f t="shared" si="10"/>
        <v>40195.871099999989</v>
      </c>
      <c r="O197" s="28">
        <f>IF(O3&gt;0,N197/O3/12,0)</f>
        <v>0.35462230697566072</v>
      </c>
    </row>
    <row r="198" spans="2:15" x14ac:dyDescent="0.3">
      <c r="B198" s="21">
        <v>118</v>
      </c>
      <c r="C198" s="22" t="s">
        <v>490</v>
      </c>
      <c r="D198" s="23" t="s">
        <v>491</v>
      </c>
      <c r="E198" s="23" t="s">
        <v>492</v>
      </c>
      <c r="F198" s="24">
        <v>5</v>
      </c>
      <c r="G198" s="25">
        <v>12</v>
      </c>
      <c r="H198" s="26">
        <f>F198 * G198 * 74.333948</f>
        <v>4460.0368800000006</v>
      </c>
      <c r="I198" s="26">
        <f t="shared" si="8"/>
        <v>0</v>
      </c>
      <c r="J198" s="26">
        <f t="shared" si="9"/>
        <v>0</v>
      </c>
      <c r="K198" s="26">
        <f>F198 * G198 * 70.780785</f>
        <v>4246.8471</v>
      </c>
      <c r="L198" s="26">
        <f>F198 * G198 * 16.878051</f>
        <v>1012.68306</v>
      </c>
      <c r="M198" s="26">
        <f>F198 * G198 * 14.86679</f>
        <v>892.00739999999996</v>
      </c>
      <c r="N198" s="27">
        <f t="shared" si="10"/>
        <v>10611.57444</v>
      </c>
      <c r="O198" s="28">
        <f>IF(O3&gt;0,N198/O3/12,0)</f>
        <v>9.3619093344061322E-2</v>
      </c>
    </row>
    <row r="199" spans="2:15" x14ac:dyDescent="0.3">
      <c r="B199" s="21">
        <v>119</v>
      </c>
      <c r="C199" s="22" t="s">
        <v>493</v>
      </c>
      <c r="D199" s="23" t="s">
        <v>494</v>
      </c>
      <c r="E199" s="23" t="s">
        <v>492</v>
      </c>
      <c r="F199" s="24">
        <v>5</v>
      </c>
      <c r="G199" s="25">
        <v>12</v>
      </c>
      <c r="H199" s="26">
        <f>F199 * G199 * 110.301987</f>
        <v>6618.1192199999996</v>
      </c>
      <c r="I199" s="26">
        <f t="shared" si="8"/>
        <v>0</v>
      </c>
      <c r="J199" s="26">
        <f t="shared" si="9"/>
        <v>0</v>
      </c>
      <c r="K199" s="26">
        <f>F199 * G199 * 105.029552</f>
        <v>6301.7731199999998</v>
      </c>
      <c r="L199" s="26">
        <f>F199 * G199 * 25.04485</f>
        <v>1502.691</v>
      </c>
      <c r="M199" s="26">
        <f>F199 * G199 * 22.060397</f>
        <v>1323.6238199999998</v>
      </c>
      <c r="N199" s="27">
        <f t="shared" si="10"/>
        <v>15746.207159999998</v>
      </c>
      <c r="O199" s="28">
        <f>IF(O3&gt;0,N199/O3/12,0)</f>
        <v>0.13891865399070474</v>
      </c>
    </row>
    <row r="200" spans="2:15" x14ac:dyDescent="0.3">
      <c r="B200" s="21">
        <v>120</v>
      </c>
      <c r="C200" s="22" t="s">
        <v>495</v>
      </c>
      <c r="D200" s="23" t="s">
        <v>496</v>
      </c>
      <c r="E200" s="23" t="s">
        <v>497</v>
      </c>
      <c r="F200" s="24">
        <v>10</v>
      </c>
      <c r="G200" s="25">
        <v>12</v>
      </c>
      <c r="H200" s="26">
        <f>F200 * G200 * 68.046465</f>
        <v>8165.5757999999996</v>
      </c>
      <c r="I200" s="26">
        <f t="shared" si="8"/>
        <v>0</v>
      </c>
      <c r="J200" s="26">
        <f t="shared" si="9"/>
        <v>0</v>
      </c>
      <c r="K200" s="26">
        <f>F200 * G200 * 64.793844</f>
        <v>7775.2612800000006</v>
      </c>
      <c r="L200" s="26">
        <f>F200 * G200 * 15.450433</f>
        <v>1854.05196</v>
      </c>
      <c r="M200" s="26">
        <f>F200 * G200 * 13.609293</f>
        <v>1633.1151599999998</v>
      </c>
      <c r="N200" s="27">
        <f t="shared" si="10"/>
        <v>19428.004200000003</v>
      </c>
      <c r="O200" s="28">
        <f>IF(O3&gt;0,N200/O3/12,0)</f>
        <v>0.17140078024921393</v>
      </c>
    </row>
    <row r="201" spans="2:15" x14ac:dyDescent="0.3">
      <c r="B201" s="21">
        <v>121</v>
      </c>
      <c r="C201" s="22" t="s">
        <v>498</v>
      </c>
      <c r="D201" s="23" t="s">
        <v>499</v>
      </c>
      <c r="E201" s="23" t="s">
        <v>284</v>
      </c>
      <c r="F201" s="24">
        <v>5</v>
      </c>
      <c r="G201" s="25">
        <v>12</v>
      </c>
      <c r="H201" s="26">
        <f>F201 * G201 * 143.872157</f>
        <v>8632.32942</v>
      </c>
      <c r="I201" s="26">
        <f t="shared" si="8"/>
        <v>0</v>
      </c>
      <c r="J201" s="26">
        <f t="shared" si="9"/>
        <v>0</v>
      </c>
      <c r="K201" s="26">
        <f>F201 * G201 * 136.995068</f>
        <v>8219.7040799999995</v>
      </c>
      <c r="L201" s="26">
        <f>F201 * G201 * 32.667194</f>
        <v>1960.0316400000002</v>
      </c>
      <c r="M201" s="26">
        <f>F201 * G201 * 28.774431</f>
        <v>1726.46586</v>
      </c>
      <c r="N201" s="27">
        <f t="shared" si="10"/>
        <v>20538.530999999999</v>
      </c>
      <c r="O201" s="28">
        <f>IF(O3&gt;0,N201/O3/12,0)</f>
        <v>0.18119824364525652</v>
      </c>
    </row>
    <row r="202" spans="2:15" x14ac:dyDescent="0.3">
      <c r="B202" s="21">
        <v>122</v>
      </c>
      <c r="C202" s="22" t="s">
        <v>500</v>
      </c>
      <c r="D202" s="23" t="s">
        <v>501</v>
      </c>
      <c r="E202" s="23" t="s">
        <v>502</v>
      </c>
      <c r="F202" s="24">
        <v>5</v>
      </c>
      <c r="G202" s="25">
        <v>12</v>
      </c>
      <c r="H202" s="26">
        <f>F202 * G202 * 26.376562</f>
        <v>1582.5937200000001</v>
      </c>
      <c r="I202" s="26">
        <f t="shared" si="8"/>
        <v>0</v>
      </c>
      <c r="J202" s="26">
        <f t="shared" si="9"/>
        <v>0</v>
      </c>
      <c r="K202" s="26">
        <f>F202 * G202 * 25.115762</f>
        <v>1506.9457199999999</v>
      </c>
      <c r="L202" s="26">
        <f>F202 * G202 * 5.988985</f>
        <v>359.33909999999997</v>
      </c>
      <c r="M202" s="26">
        <f>F202 * G202 * 5.275312</f>
        <v>316.51871999999997</v>
      </c>
      <c r="N202" s="27">
        <f t="shared" si="10"/>
        <v>3765.3972600000002</v>
      </c>
      <c r="O202" s="28">
        <f>IF(O3&gt;0,N202/O3/12,0)</f>
        <v>3.321967720761828E-2</v>
      </c>
    </row>
    <row r="203" spans="2:15" x14ac:dyDescent="0.3">
      <c r="B203" s="21">
        <v>123</v>
      </c>
      <c r="C203" s="22" t="s">
        <v>503</v>
      </c>
      <c r="D203" s="23" t="s">
        <v>504</v>
      </c>
      <c r="E203" s="23" t="s">
        <v>505</v>
      </c>
      <c r="F203" s="24">
        <v>5</v>
      </c>
      <c r="G203" s="25">
        <v>12</v>
      </c>
      <c r="H203" s="26">
        <f>F203 * G203 * 174.842657</f>
        <v>10490.55942</v>
      </c>
      <c r="I203" s="26">
        <f t="shared" si="8"/>
        <v>0</v>
      </c>
      <c r="J203" s="26">
        <f t="shared" si="9"/>
        <v>0</v>
      </c>
      <c r="K203" s="26">
        <f>F203 * G203 * 166.485178</f>
        <v>9989.1106799999998</v>
      </c>
      <c r="L203" s="26">
        <f>F203 * G203 * 39.699267</f>
        <v>2381.9560200000001</v>
      </c>
      <c r="M203" s="26">
        <f>F203 * G203 * 34.968531</f>
        <v>2098.11186</v>
      </c>
      <c r="N203" s="27">
        <f t="shared" si="10"/>
        <v>24959.737980000002</v>
      </c>
      <c r="O203" s="28">
        <f>IF(O3&gt;0,N203/O3/12,0)</f>
        <v>0.22020370803646103</v>
      </c>
    </row>
    <row r="204" spans="2:15" x14ac:dyDescent="0.3">
      <c r="B204" s="21">
        <v>124</v>
      </c>
      <c r="C204" s="22" t="s">
        <v>506</v>
      </c>
      <c r="D204" s="23" t="s">
        <v>507</v>
      </c>
      <c r="E204" s="23" t="s">
        <v>371</v>
      </c>
      <c r="F204" s="24">
        <v>5</v>
      </c>
      <c r="G204" s="25">
        <v>1</v>
      </c>
      <c r="H204" s="26">
        <f>F204 * G204 * 1827.9005</f>
        <v>9139.5025000000005</v>
      </c>
      <c r="I204" s="26">
        <f t="shared" si="8"/>
        <v>0</v>
      </c>
      <c r="J204" s="26">
        <f t="shared" si="9"/>
        <v>0</v>
      </c>
      <c r="K204" s="26">
        <f>F204 * G204 * 1740.526856</f>
        <v>8702.6342800000002</v>
      </c>
      <c r="L204" s="26">
        <f>F204 * G204 * 415.037786</f>
        <v>2075.1889299999998</v>
      </c>
      <c r="M204" s="26">
        <f>F204 * G204 * 365.5801</f>
        <v>1827.9005000000002</v>
      </c>
      <c r="N204" s="27">
        <f t="shared" si="10"/>
        <v>21745.226210000001</v>
      </c>
      <c r="O204" s="28">
        <f>IF(O3&gt;0,N204/O3/12,0)</f>
        <v>0.19184413904386829</v>
      </c>
    </row>
    <row r="205" spans="2:15" s="18" customFormat="1" ht="13.8" x14ac:dyDescent="0.3">
      <c r="B205" s="19"/>
      <c r="C205" s="20" t="s">
        <v>508</v>
      </c>
      <c r="D205" s="34" t="s">
        <v>509</v>
      </c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2:15" s="18" customFormat="1" ht="13.8" x14ac:dyDescent="0.3">
      <c r="B206" s="19"/>
      <c r="C206" s="20" t="s">
        <v>510</v>
      </c>
      <c r="D206" s="36" t="s">
        <v>511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</row>
    <row r="207" spans="2:15" ht="27.6" x14ac:dyDescent="0.3">
      <c r="B207" s="21">
        <v>125</v>
      </c>
      <c r="C207" s="22" t="s">
        <v>512</v>
      </c>
      <c r="D207" s="23" t="s">
        <v>513</v>
      </c>
      <c r="E207" s="23" t="s">
        <v>514</v>
      </c>
      <c r="F207" s="24">
        <v>10</v>
      </c>
      <c r="G207" s="25">
        <v>12</v>
      </c>
      <c r="H207" s="26">
        <f>F207 * G207 * 201.792966</f>
        <v>24215.155920000001</v>
      </c>
      <c r="I207" s="26">
        <f>F207 * G207 * 0</f>
        <v>0</v>
      </c>
      <c r="J207" s="26">
        <f>F207 * G207 * 0</f>
        <v>0</v>
      </c>
      <c r="K207" s="26">
        <f>F207 * G207 * 192.147261999999</f>
        <v>23057.671439999878</v>
      </c>
      <c r="L207" s="26">
        <f>F207 * G207 * 45.818526</f>
        <v>5498.2231199999997</v>
      </c>
      <c r="M207" s="26">
        <f>F207 * G207 * 40.358593</f>
        <v>4843.0311599999995</v>
      </c>
      <c r="N207" s="27">
        <f>SUM(H207:M207)</f>
        <v>57614.08163999988</v>
      </c>
      <c r="O207" s="28">
        <f>IF(O3&gt;0,N207/O3/12,0)</f>
        <v>0.50829197094974321</v>
      </c>
    </row>
    <row r="208" spans="2:15" x14ac:dyDescent="0.3">
      <c r="B208" s="21">
        <v>126</v>
      </c>
      <c r="C208" s="22" t="s">
        <v>515</v>
      </c>
      <c r="D208" s="23" t="s">
        <v>516</v>
      </c>
      <c r="E208" s="23" t="s">
        <v>517</v>
      </c>
      <c r="F208" s="24">
        <v>1</v>
      </c>
      <c r="G208" s="25">
        <v>1</v>
      </c>
      <c r="H208" s="26">
        <f>F208 * G208 * 16689.526308</f>
        <v>16689.526308</v>
      </c>
      <c r="I208" s="26">
        <f>F208 * G208 * 0</f>
        <v>0</v>
      </c>
      <c r="J208" s="26">
        <f>F208 * G208 * 0</f>
        <v>0</v>
      </c>
      <c r="K208" s="26">
        <f>F208 * G208 * 15891.76695</f>
        <v>15891.766949999999</v>
      </c>
      <c r="L208" s="26">
        <f>F208 * G208 * 3789.47544399999</f>
        <v>3789.4754439999901</v>
      </c>
      <c r="M208" s="26">
        <f>F208 * G208 * 3337.905262</f>
        <v>3337.9052620000002</v>
      </c>
      <c r="N208" s="27">
        <f>SUM(H208:M208)</f>
        <v>39708.673963999987</v>
      </c>
      <c r="O208" s="28">
        <f>IF(O3&gt;0,N208/O3/12,0)</f>
        <v>0.35032408012817107</v>
      </c>
    </row>
    <row r="209" spans="2:15" s="15" customFormat="1" ht="14.4" x14ac:dyDescent="0.3">
      <c r="B209" s="16"/>
      <c r="C209" s="17" t="s">
        <v>518</v>
      </c>
      <c r="D209" s="33" t="s">
        <v>519</v>
      </c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2:15" s="18" customFormat="1" ht="13.8" x14ac:dyDescent="0.3">
      <c r="B210" s="19"/>
      <c r="C210" s="20" t="s">
        <v>520</v>
      </c>
      <c r="D210" s="32" t="s">
        <v>521</v>
      </c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2:15" s="18" customFormat="1" ht="13.8" x14ac:dyDescent="0.3">
      <c r="B211" s="19"/>
      <c r="C211" s="20" t="s">
        <v>522</v>
      </c>
      <c r="D211" s="34" t="s">
        <v>523</v>
      </c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2:15" s="18" customFormat="1" ht="13.8" x14ac:dyDescent="0.3">
      <c r="B212" s="19"/>
      <c r="C212" s="20" t="s">
        <v>524</v>
      </c>
      <c r="D212" s="36" t="s">
        <v>525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</row>
    <row r="213" spans="2:15" ht="41.4" x14ac:dyDescent="0.3">
      <c r="B213" s="21">
        <v>127</v>
      </c>
      <c r="C213" s="22" t="s">
        <v>526</v>
      </c>
      <c r="D213" s="23" t="s">
        <v>527</v>
      </c>
      <c r="E213" s="23" t="s">
        <v>528</v>
      </c>
      <c r="F213" s="24">
        <v>5.9210000000000003</v>
      </c>
      <c r="G213" s="25">
        <v>104</v>
      </c>
      <c r="H213" s="26">
        <f>F213 * G213 * 253.943655</f>
        <v>156374.43965052001</v>
      </c>
      <c r="I213" s="26">
        <f>F213 * G213 * 0</f>
        <v>0</v>
      </c>
      <c r="J213" s="26">
        <f>F213 * G213 * 0</f>
        <v>0</v>
      </c>
      <c r="K213" s="26">
        <f>F213 * G213 * 241.805149</f>
        <v>148899.74187181599</v>
      </c>
      <c r="L213" s="26">
        <f>F213 * G213 * 57.65971</f>
        <v>35505.926862640001</v>
      </c>
      <c r="M213" s="26">
        <f>F213 * G213 * 50.788731</f>
        <v>31274.887930104</v>
      </c>
      <c r="N213" s="27">
        <f>SUM(H213:M213)</f>
        <v>372054.99631507997</v>
      </c>
      <c r="O213" s="28">
        <f>IF(O3&gt;0,N213/O3/12,0)</f>
        <v>3.2824018364183343</v>
      </c>
    </row>
    <row r="214" spans="2:15" ht="41.4" x14ac:dyDescent="0.3">
      <c r="B214" s="21">
        <v>128</v>
      </c>
      <c r="C214" s="22" t="s">
        <v>529</v>
      </c>
      <c r="D214" s="23" t="s">
        <v>530</v>
      </c>
      <c r="E214" s="23" t="s">
        <v>531</v>
      </c>
      <c r="F214" s="24">
        <v>12.021000000000001</v>
      </c>
      <c r="G214" s="25">
        <v>104</v>
      </c>
      <c r="H214" s="26">
        <f>F214 * G214 * 221.744544</f>
        <v>277221.48099609604</v>
      </c>
      <c r="I214" s="26">
        <f>F214 * G214 * 0</f>
        <v>0</v>
      </c>
      <c r="J214" s="26">
        <f>F214 * G214 * 0</f>
        <v>0</v>
      </c>
      <c r="K214" s="26">
        <f>F214 * G214 * 211.145155</f>
        <v>263970.29445852002</v>
      </c>
      <c r="L214" s="26">
        <f>F214 * G214 * 50.348673</f>
        <v>62945.105405832008</v>
      </c>
      <c r="M214" s="26">
        <f>F214 * G214 * 44.348909</f>
        <v>55444.296449256006</v>
      </c>
      <c r="N214" s="27">
        <f>SUM(H214:M214)</f>
        <v>659581.17730970413</v>
      </c>
      <c r="O214" s="28">
        <f>IF(O3&gt;0,N214/O3/12,0)</f>
        <v>5.8190603247130452</v>
      </c>
    </row>
    <row r="215" spans="2:15" s="18" customFormat="1" ht="13.8" x14ac:dyDescent="0.3">
      <c r="B215" s="19"/>
      <c r="C215" s="20" t="s">
        <v>532</v>
      </c>
      <c r="D215" s="36" t="s">
        <v>533</v>
      </c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</row>
    <row r="216" spans="2:15" ht="27.6" x14ac:dyDescent="0.3">
      <c r="B216" s="21">
        <v>129</v>
      </c>
      <c r="C216" s="22" t="s">
        <v>534</v>
      </c>
      <c r="D216" s="23" t="s">
        <v>535</v>
      </c>
      <c r="E216" s="23" t="s">
        <v>528</v>
      </c>
      <c r="F216" s="24">
        <v>5.9210000000000003</v>
      </c>
      <c r="G216" s="25">
        <v>24</v>
      </c>
      <c r="H216" s="26">
        <f>F216 * G216 * 325.640343</f>
        <v>46274.795301671998</v>
      </c>
      <c r="I216" s="26">
        <f>F216 * G216 * 75.30622</f>
        <v>10701.31508688</v>
      </c>
      <c r="J216" s="26">
        <f>F216 * G216 * 0</f>
        <v>0</v>
      </c>
      <c r="K216" s="26">
        <f>F216 * G216 * 310.074735</f>
        <v>44062.860142440004</v>
      </c>
      <c r="L216" s="26">
        <f>F216 * G216 * 81.883758</f>
        <v>11636.009546832001</v>
      </c>
      <c r="M216" s="26">
        <f>F216 * G216 * 65.128069</f>
        <v>9254.9591171760003</v>
      </c>
      <c r="N216" s="27">
        <f>SUM(H216:M216)</f>
        <v>121929.939195</v>
      </c>
      <c r="O216" s="28">
        <f>IF(O3&gt;0,N216/O3/12,0)</f>
        <v>1.0757093985887758</v>
      </c>
    </row>
    <row r="217" spans="2:15" ht="27.6" x14ac:dyDescent="0.3">
      <c r="B217" s="21">
        <v>130</v>
      </c>
      <c r="C217" s="22" t="s">
        <v>536</v>
      </c>
      <c r="D217" s="23" t="s">
        <v>537</v>
      </c>
      <c r="E217" s="23" t="s">
        <v>528</v>
      </c>
      <c r="F217" s="24">
        <v>12.021000000000001</v>
      </c>
      <c r="G217" s="25">
        <v>24</v>
      </c>
      <c r="H217" s="26">
        <f>F217 * G217 * 279.058962</f>
        <v>80509.626772848002</v>
      </c>
      <c r="I217" s="26">
        <f>F217 * G217 * 75.30622</f>
        <v>21726.145694880001</v>
      </c>
      <c r="J217" s="26">
        <f>F217 * G217 * 0</f>
        <v>0</v>
      </c>
      <c r="K217" s="26">
        <f>F217 * G217 * 265.719943</f>
        <v>76661.266435272002</v>
      </c>
      <c r="L217" s="26">
        <f>F217 * G217 * 71.307125</f>
        <v>20572.390791000002</v>
      </c>
      <c r="M217" s="26">
        <f>F217 * G217 * 55.811792</f>
        <v>16101.925239168</v>
      </c>
      <c r="N217" s="27">
        <f>SUM(H217:M217)</f>
        <v>215571.35493316801</v>
      </c>
      <c r="O217" s="28">
        <f>IF(O3&gt;0,N217/O3/12,0)</f>
        <v>1.9018473567617011</v>
      </c>
    </row>
    <row r="218" spans="2:15" x14ac:dyDescent="0.3">
      <c r="B218" s="21">
        <v>131</v>
      </c>
      <c r="C218" s="22" t="s">
        <v>538</v>
      </c>
      <c r="D218" s="23" t="s">
        <v>539</v>
      </c>
      <c r="E218" s="23" t="s">
        <v>540</v>
      </c>
      <c r="F218" s="24">
        <v>0.21199999999999999</v>
      </c>
      <c r="G218" s="25">
        <v>365</v>
      </c>
      <c r="H218" s="26">
        <f>F218 * G218 * 379.305528</f>
        <v>29350.661756639998</v>
      </c>
      <c r="I218" s="26">
        <f>F218 * G218 * 104.42836</f>
        <v>8080.6664967999995</v>
      </c>
      <c r="J218" s="26">
        <f>F218 * G218 * 0</f>
        <v>0</v>
      </c>
      <c r="K218" s="26">
        <f>F218 * G218 * 361.174724</f>
        <v>27947.700143120001</v>
      </c>
      <c r="L218" s="26">
        <f>F218 * G218 * 97.141206</f>
        <v>7516.7865202799994</v>
      </c>
      <c r="M218" s="26">
        <f>F218 * G218 * 75.861106</f>
        <v>5870.1323822800005</v>
      </c>
      <c r="N218" s="27">
        <f>SUM(H218:M218)</f>
        <v>78765.947299120002</v>
      </c>
      <c r="O218" s="28">
        <f>IF(O3&gt;0,N218/O3/12,0)</f>
        <v>0.69490127164671056</v>
      </c>
    </row>
    <row r="219" spans="2:15" s="18" customFormat="1" ht="13.8" x14ac:dyDescent="0.3">
      <c r="B219" s="19"/>
      <c r="C219" s="20" t="s">
        <v>541</v>
      </c>
      <c r="D219" s="32" t="s">
        <v>542</v>
      </c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2:15" ht="27.6" x14ac:dyDescent="0.3">
      <c r="B220" s="21">
        <v>132</v>
      </c>
      <c r="C220" s="22" t="s">
        <v>543</v>
      </c>
      <c r="D220" s="23" t="s">
        <v>544</v>
      </c>
      <c r="E220" s="23" t="s">
        <v>37</v>
      </c>
      <c r="F220" s="24">
        <v>0.9</v>
      </c>
      <c r="G220" s="25">
        <v>1</v>
      </c>
      <c r="H220" s="26">
        <f>F220 * G220 * 193.194666</f>
        <v>173.87519940000001</v>
      </c>
      <c r="I220" s="26">
        <f>F220 * G220 * 9.683791</f>
        <v>8.7154118999999994</v>
      </c>
      <c r="J220" s="26">
        <f>F220 * G220 * 0</f>
        <v>0</v>
      </c>
      <c r="K220" s="26">
        <f>F220 * G220 * 183.959961</f>
        <v>165.5639649</v>
      </c>
      <c r="L220" s="26">
        <f>F220 * G220 * 44.887861</f>
        <v>40.399074900000002</v>
      </c>
      <c r="M220" s="26">
        <f>F220 * G220 * 38.638933</f>
        <v>34.775039700000001</v>
      </c>
      <c r="N220" s="27">
        <f>SUM(H220:M220)</f>
        <v>423.3286908</v>
      </c>
      <c r="O220" s="28">
        <f>IF(O3&gt;0,N220/O3/12,0)</f>
        <v>3.7347566511746083E-3</v>
      </c>
    </row>
    <row r="221" spans="2:15" ht="27.6" x14ac:dyDescent="0.3">
      <c r="B221" s="21">
        <v>133</v>
      </c>
      <c r="C221" s="22" t="s">
        <v>545</v>
      </c>
      <c r="D221" s="23" t="s">
        <v>546</v>
      </c>
      <c r="E221" s="23" t="s">
        <v>547</v>
      </c>
      <c r="F221" s="24">
        <v>0.7</v>
      </c>
      <c r="G221" s="25">
        <v>2</v>
      </c>
      <c r="H221" s="26">
        <f>F221 * G221 * 486.635898</f>
        <v>681.29025719999993</v>
      </c>
      <c r="I221" s="26">
        <f>F221 * G221 * 64.932615</f>
        <v>90.905660999999995</v>
      </c>
      <c r="J221" s="26">
        <f>F221 * G221 * 0</f>
        <v>0</v>
      </c>
      <c r="K221" s="26">
        <f>F221 * G221 * 463.374701999999</f>
        <v>648.72458279999853</v>
      </c>
      <c r="L221" s="26">
        <f>F221 * G221 * 117.344527</f>
        <v>164.28233779999999</v>
      </c>
      <c r="M221" s="26">
        <f>F221 * G221 * 97.32718</f>
        <v>136.25805199999999</v>
      </c>
      <c r="N221" s="27">
        <f>SUM(H221:M221)</f>
        <v>1721.4608907999984</v>
      </c>
      <c r="O221" s="28">
        <f>IF(O3&gt;0,N221/O3/12,0)</f>
        <v>1.5187341778093015E-2</v>
      </c>
    </row>
    <row r="222" spans="2:15" s="18" customFormat="1" ht="13.8" x14ac:dyDescent="0.3">
      <c r="B222" s="19"/>
      <c r="C222" s="20" t="s">
        <v>548</v>
      </c>
      <c r="D222" s="32" t="s">
        <v>549</v>
      </c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2:15" ht="27.6" x14ac:dyDescent="0.3">
      <c r="B223" s="21">
        <v>134</v>
      </c>
      <c r="C223" s="22" t="s">
        <v>550</v>
      </c>
      <c r="D223" s="23" t="s">
        <v>551</v>
      </c>
      <c r="E223" s="23" t="s">
        <v>552</v>
      </c>
      <c r="F223" s="24">
        <v>0.52</v>
      </c>
      <c r="G223" s="25">
        <v>2</v>
      </c>
      <c r="H223" s="26">
        <f>F223 * G223 * 490.070469</f>
        <v>509.67328775999999</v>
      </c>
      <c r="I223" s="26">
        <f>F223 * G223 * 65.010635</f>
        <v>67.6110604</v>
      </c>
      <c r="J223" s="26">
        <f>F223 * G223 * 0</f>
        <v>0</v>
      </c>
      <c r="K223" s="26">
        <f>F223 * G223 * 466.645100999999</f>
        <v>485.31090503999894</v>
      </c>
      <c r="L223" s="26">
        <f>F223 * G223 * 118.132601</f>
        <v>122.85790503999999</v>
      </c>
      <c r="M223" s="26">
        <f>F223 * G223 * 98.014094</f>
        <v>101.93465776000001</v>
      </c>
      <c r="N223" s="27">
        <f>SUM(H223:M223)</f>
        <v>1287.387815999999</v>
      </c>
      <c r="O223" s="28">
        <f>IF(O3&gt;0,N223/O3/12,0)</f>
        <v>1.1357794340281812E-2</v>
      </c>
    </row>
    <row r="224" spans="2:15" ht="27.6" x14ac:dyDescent="0.3">
      <c r="B224" s="21">
        <v>135</v>
      </c>
      <c r="C224" s="22" t="s">
        <v>553</v>
      </c>
      <c r="D224" s="23" t="s">
        <v>554</v>
      </c>
      <c r="E224" s="23" t="s">
        <v>555</v>
      </c>
      <c r="F224" s="24">
        <v>2.3919999999999999</v>
      </c>
      <c r="G224" s="25">
        <v>2</v>
      </c>
      <c r="H224" s="26">
        <f>F224 * G224 * 719.113479</f>
        <v>3440.2388835359998</v>
      </c>
      <c r="I224" s="26">
        <f>F224 * G224 * 159.203269</f>
        <v>761.62843889600003</v>
      </c>
      <c r="J224" s="26">
        <f>F224 * G224 * 0</f>
        <v>0</v>
      </c>
      <c r="K224" s="26">
        <f>F224 * G224 * 684.739854</f>
        <v>3275.7954615359999</v>
      </c>
      <c r="L224" s="26">
        <f>F224 * G224 * 180.075765</f>
        <v>861.48245975999987</v>
      </c>
      <c r="M224" s="26">
        <f>F224 * G224 * 143.822696</f>
        <v>688.04777766400002</v>
      </c>
      <c r="N224" s="27">
        <f>SUM(H224:M224)</f>
        <v>9027.1930213920004</v>
      </c>
      <c r="O224" s="28">
        <f>IF(O3&gt;0,N224/O3/12,0)</f>
        <v>7.9641115546333255E-2</v>
      </c>
    </row>
    <row r="225" spans="2:15" s="18" customFormat="1" ht="13.8" x14ac:dyDescent="0.3">
      <c r="B225" s="19"/>
      <c r="C225" s="20" t="s">
        <v>556</v>
      </c>
      <c r="D225" s="32" t="s">
        <v>557</v>
      </c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2:15" s="18" customFormat="1" ht="13.8" x14ac:dyDescent="0.3">
      <c r="B226" s="19"/>
      <c r="C226" s="20" t="s">
        <v>558</v>
      </c>
      <c r="D226" s="34" t="s">
        <v>559</v>
      </c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2:15" x14ac:dyDescent="0.3">
      <c r="B227" s="21">
        <v>136</v>
      </c>
      <c r="C227" s="22" t="s">
        <v>560</v>
      </c>
      <c r="D227" s="23" t="s">
        <v>561</v>
      </c>
      <c r="E227" s="23" t="s">
        <v>562</v>
      </c>
      <c r="F227" s="24">
        <v>1.4999999999999999E-2</v>
      </c>
      <c r="G227" s="25">
        <v>247</v>
      </c>
      <c r="H227" s="26">
        <f>F227 * G227 * 92.98668</f>
        <v>344.51564940000003</v>
      </c>
      <c r="I227" s="26">
        <f>F227 * G227 * 56.6585</f>
        <v>209.91974249999998</v>
      </c>
      <c r="J227" s="26">
        <f>F227 * G227 * 0</f>
        <v>0</v>
      </c>
      <c r="K227" s="26">
        <f>F227 * G227 * 88.541917</f>
        <v>328.04780248499998</v>
      </c>
      <c r="L227" s="26">
        <f>F227 * G227 * 27.090757</f>
        <v>100.371254685</v>
      </c>
      <c r="M227" s="26">
        <f>F227 * G227 * 18.597336</f>
        <v>68.903129879999995</v>
      </c>
      <c r="N227" s="27">
        <f>SUM(H227:M227)</f>
        <v>1051.7575789499999</v>
      </c>
      <c r="O227" s="28">
        <f>IF(O3&gt;0,N227/O3/12,0)</f>
        <v>9.278980373344483E-3</v>
      </c>
    </row>
    <row r="228" spans="2:15" s="18" customFormat="1" ht="13.8" x14ac:dyDescent="0.3">
      <c r="B228" s="19"/>
      <c r="C228" s="20" t="s">
        <v>563</v>
      </c>
      <c r="D228" s="32" t="s">
        <v>564</v>
      </c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2:15" ht="41.4" x14ac:dyDescent="0.3">
      <c r="B229" s="21">
        <v>137</v>
      </c>
      <c r="C229" s="22" t="s">
        <v>565</v>
      </c>
      <c r="D229" s="23" t="s">
        <v>566</v>
      </c>
      <c r="E229" s="23" t="s">
        <v>567</v>
      </c>
      <c r="F229" s="24">
        <v>0.54</v>
      </c>
      <c r="G229" s="25">
        <v>2</v>
      </c>
      <c r="H229" s="26">
        <f>F229 * G229 * 289.791999</f>
        <v>312.97535892000002</v>
      </c>
      <c r="I229" s="26">
        <f>F229 * G229 * 45.83252</f>
        <v>49.499121600000002</v>
      </c>
      <c r="J229" s="26">
        <f>F229 * G229 * 0</f>
        <v>0</v>
      </c>
      <c r="K229" s="26">
        <f>F229 * G229 * 275.939941</f>
        <v>298.01513627999998</v>
      </c>
      <c r="L229" s="26">
        <f>F229 * G229 * 70.634661</f>
        <v>76.285433879999999</v>
      </c>
      <c r="M229" s="26">
        <f>F229 * G229 * 57.9584</f>
        <v>62.595072000000002</v>
      </c>
      <c r="N229" s="27">
        <f>SUM(H229:M229)</f>
        <v>799.37012268000001</v>
      </c>
      <c r="O229" s="28">
        <f>IF(O3&gt;0,N229/O3/12,0)</f>
        <v>7.0523282435393875E-3</v>
      </c>
    </row>
    <row r="230" spans="2:15" ht="27.6" x14ac:dyDescent="0.3">
      <c r="B230" s="21">
        <v>138</v>
      </c>
      <c r="C230" s="22" t="s">
        <v>568</v>
      </c>
      <c r="D230" s="23" t="s">
        <v>569</v>
      </c>
      <c r="E230" s="23" t="s">
        <v>570</v>
      </c>
      <c r="F230" s="24">
        <v>0.36</v>
      </c>
      <c r="G230" s="25">
        <v>2</v>
      </c>
      <c r="H230" s="26">
        <f>F230 * G230 * 390.038565</f>
        <v>280.82776680000001</v>
      </c>
      <c r="I230" s="26">
        <f>F230 * G230 * 45.83252</f>
        <v>32.999414399999999</v>
      </c>
      <c r="J230" s="26">
        <f>F230 * G230 * 0</f>
        <v>0</v>
      </c>
      <c r="K230" s="26">
        <f>F230 * G230 * 371.394721</f>
        <v>267.40419911999999</v>
      </c>
      <c r="L230" s="26">
        <f>F230 * G230 * 93.396357</f>
        <v>67.245377039999994</v>
      </c>
      <c r="M230" s="26">
        <f>F230 * G230 * 78.007713</f>
        <v>56.165553359999997</v>
      </c>
      <c r="N230" s="27">
        <f>SUM(H230:M230)</f>
        <v>704.64231071999995</v>
      </c>
      <c r="O230" s="28">
        <f>IF(O3&gt;0,N230/O3/12,0)</f>
        <v>6.2166057105349512E-3</v>
      </c>
    </row>
    <row r="231" spans="2:15" x14ac:dyDescent="0.3">
      <c r="B231" s="21">
        <v>139</v>
      </c>
      <c r="C231" s="22" t="s">
        <v>571</v>
      </c>
      <c r="D231" s="23" t="s">
        <v>572</v>
      </c>
      <c r="E231" s="23" t="s">
        <v>573</v>
      </c>
      <c r="F231" s="24">
        <v>17.940000000000001</v>
      </c>
      <c r="G231" s="25">
        <v>2</v>
      </c>
      <c r="H231" s="26">
        <f>F231 * G231 * 225.393777</f>
        <v>8087.128718760001</v>
      </c>
      <c r="I231" s="26">
        <f>F231 * G231 * 11.70864</f>
        <v>420.10600320000003</v>
      </c>
      <c r="J231" s="26">
        <f>F231 * G231 * 0</f>
        <v>0</v>
      </c>
      <c r="K231" s="26">
        <f>F231 * G231 * 214.619954</f>
        <v>7700.5639495200012</v>
      </c>
      <c r="L231" s="26">
        <f>F231 * G231 * 52.412519</f>
        <v>1880.5611817200001</v>
      </c>
      <c r="M231" s="26">
        <f>F231 * G231 * 45.078755</f>
        <v>1617.4257294000001</v>
      </c>
      <c r="N231" s="27">
        <f>SUM(H231:M231)</f>
        <v>19705.785582600005</v>
      </c>
      <c r="O231" s="28">
        <f>IF(O3&gt;0,N231/O3/12,0)</f>
        <v>0.17385146665149223</v>
      </c>
    </row>
    <row r="232" spans="2:15" s="15" customFormat="1" ht="14.4" x14ac:dyDescent="0.3">
      <c r="B232" s="16"/>
      <c r="C232" s="17" t="s">
        <v>574</v>
      </c>
      <c r="D232" s="33" t="s">
        <v>575</v>
      </c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2:15" s="18" customFormat="1" ht="13.8" x14ac:dyDescent="0.3">
      <c r="B233" s="19"/>
      <c r="C233" s="20" t="s">
        <v>576</v>
      </c>
      <c r="D233" s="32" t="s">
        <v>577</v>
      </c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2:15" ht="27.6" x14ac:dyDescent="0.3">
      <c r="B234" s="21">
        <v>140</v>
      </c>
      <c r="C234" s="22" t="s">
        <v>578</v>
      </c>
      <c r="D234" s="23" t="s">
        <v>579</v>
      </c>
      <c r="E234" s="23" t="s">
        <v>580</v>
      </c>
      <c r="F234" s="24">
        <v>0.46</v>
      </c>
      <c r="G234" s="25">
        <v>123.5</v>
      </c>
      <c r="H234" s="26">
        <f>F234 * G234 * 330.39948</f>
        <v>18769.9944588</v>
      </c>
      <c r="I234" s="26">
        <f>F234 * G234 * 1.608528</f>
        <v>91.380475680000004</v>
      </c>
      <c r="J234" s="26">
        <f>F234 * G234 * 0</f>
        <v>0</v>
      </c>
      <c r="K234" s="26">
        <f>F234 * G234 * 314.606385</f>
        <v>17872.78873185</v>
      </c>
      <c r="L234" s="26">
        <f>F234 * G234 * 75.189247</f>
        <v>4271.5011220699998</v>
      </c>
      <c r="M234" s="26">
        <f>F234 * G234 * 66.079896</f>
        <v>3753.9988917600003</v>
      </c>
      <c r="N234" s="27">
        <f>SUM(H234:M234)</f>
        <v>44759.663680159996</v>
      </c>
      <c r="O234" s="28">
        <f>IF(O3&gt;0,N234/O3/12,0)</f>
        <v>0.39488571237141407</v>
      </c>
    </row>
    <row r="235" spans="2:15" s="18" customFormat="1" ht="13.8" x14ac:dyDescent="0.3">
      <c r="B235" s="19"/>
      <c r="C235" s="20" t="s">
        <v>581</v>
      </c>
      <c r="D235" s="32" t="s">
        <v>582</v>
      </c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2:15" s="18" customFormat="1" ht="13.8" x14ac:dyDescent="0.3">
      <c r="B236" s="19"/>
      <c r="C236" s="20" t="s">
        <v>583</v>
      </c>
      <c r="D236" s="34" t="s">
        <v>584</v>
      </c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2:15" ht="27.6" x14ac:dyDescent="0.3">
      <c r="B237" s="21">
        <v>141</v>
      </c>
      <c r="C237" s="22" t="s">
        <v>585</v>
      </c>
      <c r="D237" s="23" t="s">
        <v>586</v>
      </c>
      <c r="E237" s="23" t="s">
        <v>587</v>
      </c>
      <c r="F237" s="24">
        <v>4.5999999999999999E-3</v>
      </c>
      <c r="G237" s="25">
        <v>2</v>
      </c>
      <c r="H237" s="26">
        <f>F237 * G237 * 230818.65948</f>
        <v>2123.5316672160002</v>
      </c>
      <c r="I237" s="26">
        <f>F237 * G237 * 1115.955216</f>
        <v>10.266787987200001</v>
      </c>
      <c r="J237" s="26">
        <f>F237 * G237 * 0</f>
        <v>0</v>
      </c>
      <c r="K237" s="26">
        <f>F237 * G237 * 219785.527557</f>
        <v>2022.0268535243999</v>
      </c>
      <c r="L237" s="26">
        <f>F237 * G237 * 52526.748723</f>
        <v>483.24608825159999</v>
      </c>
      <c r="M237" s="26">
        <f>F237 * G237 * 46163.731896</f>
        <v>424.70633344319998</v>
      </c>
      <c r="N237" s="27">
        <f>SUM(H237:M237)</f>
        <v>5063.7777304224001</v>
      </c>
      <c r="O237" s="28">
        <f>IF(O3&gt;0,N237/O3/12,0)</f>
        <v>4.4674452664725743E-2</v>
      </c>
    </row>
    <row r="238" spans="2:15" x14ac:dyDescent="0.3">
      <c r="B238" s="21">
        <v>142</v>
      </c>
      <c r="C238" s="22" t="s">
        <v>588</v>
      </c>
      <c r="D238" s="23" t="s">
        <v>589</v>
      </c>
      <c r="E238" s="23" t="s">
        <v>590</v>
      </c>
      <c r="F238" s="24">
        <v>4.5999999999999999E-3</v>
      </c>
      <c r="G238" s="25">
        <v>123.5</v>
      </c>
      <c r="H238" s="26">
        <f>F238 * G238 * 25389.32052</f>
        <v>14423.672987411999</v>
      </c>
      <c r="I238" s="26">
        <f>F238 * G238 * 124.5312</f>
        <v>70.746174719999985</v>
      </c>
      <c r="J238" s="26">
        <f>F238 * G238 * 0</f>
        <v>0</v>
      </c>
      <c r="K238" s="26">
        <f>F238 * G238 * 24175.710999</f>
        <v>13734.221418531897</v>
      </c>
      <c r="L238" s="26">
        <f>F238 * G238 * 5777.96353</f>
        <v>3282.4610813929999</v>
      </c>
      <c r="M238" s="26">
        <f>F238 * G238 * 5077.864104</f>
        <v>2884.7345974823997</v>
      </c>
      <c r="N238" s="27">
        <f>SUM(H238:M238)</f>
        <v>34395.836259539297</v>
      </c>
      <c r="O238" s="28">
        <f>IF(O3&gt;0,N238/O3/12,0)</f>
        <v>0.30345233156832646</v>
      </c>
    </row>
    <row r="239" spans="2:15" x14ac:dyDescent="0.3">
      <c r="B239" s="21">
        <v>143</v>
      </c>
      <c r="C239" s="22" t="s">
        <v>591</v>
      </c>
      <c r="D239" s="23" t="s">
        <v>592</v>
      </c>
      <c r="E239" s="23" t="s">
        <v>593</v>
      </c>
      <c r="F239" s="24">
        <v>45.7</v>
      </c>
      <c r="G239" s="25">
        <v>2</v>
      </c>
      <c r="H239" s="26">
        <f>F239 * G239 * 210.367525</f>
        <v>19227.591785000001</v>
      </c>
      <c r="I239" s="26">
        <f>F239 * G239 * 31.1328</f>
        <v>2845.5379200000002</v>
      </c>
      <c r="J239" s="26">
        <f>F239 * G239 * 25.994925</f>
        <v>2375.9361450000001</v>
      </c>
      <c r="K239" s="26">
        <f>F239 * G239 * 200.311957</f>
        <v>18308.512869800001</v>
      </c>
      <c r="L239" s="26">
        <f>F239 * G239 * 53.792416</f>
        <v>4916.6268224000005</v>
      </c>
      <c r="M239" s="26">
        <f>F239 * G239 * 42.073505</f>
        <v>3845.5183569999999</v>
      </c>
      <c r="N239" s="27">
        <f>SUM(H239:M239)</f>
        <v>51519.723899200006</v>
      </c>
      <c r="O239" s="28">
        <f>IF(O3&gt;0,N239/O3/12,0)</f>
        <v>0.45452537397263665</v>
      </c>
    </row>
    <row r="240" spans="2:15" s="18" customFormat="1" ht="13.8" x14ac:dyDescent="0.3">
      <c r="B240" s="19"/>
      <c r="C240" s="20" t="s">
        <v>594</v>
      </c>
      <c r="D240" s="34" t="s">
        <v>595</v>
      </c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</row>
    <row r="241" spans="2:15" x14ac:dyDescent="0.3">
      <c r="B241" s="21">
        <v>144</v>
      </c>
      <c r="C241" s="22" t="s">
        <v>596</v>
      </c>
      <c r="D241" s="23" t="s">
        <v>597</v>
      </c>
      <c r="E241" s="23" t="s">
        <v>598</v>
      </c>
      <c r="F241" s="24">
        <v>0.05</v>
      </c>
      <c r="G241" s="25">
        <v>123.5</v>
      </c>
      <c r="H241" s="26">
        <f>F241 * G241 * 476.80404</f>
        <v>2944.2649470000001</v>
      </c>
      <c r="I241" s="26">
        <f>F241 * G241 * 518.88</f>
        <v>3204.0840000000003</v>
      </c>
      <c r="J241" s="26">
        <f>F241 * G241 * 0</f>
        <v>0</v>
      </c>
      <c r="K241" s="26">
        <f>F241 * G241 * 454.012806999999</f>
        <v>2803.5290832249939</v>
      </c>
      <c r="L241" s="26">
        <f>F241 * G241 * 163.003582</f>
        <v>1006.5471188500001</v>
      </c>
      <c r="M241" s="26">
        <f>F241 * G241 * 95.360808</f>
        <v>588.85298940000007</v>
      </c>
      <c r="N241" s="27">
        <f>SUM(H241:M241)</f>
        <v>10547.278138474994</v>
      </c>
      <c r="O241" s="28">
        <f>IF(O3&gt;0,N241/O3/12,0)</f>
        <v>9.3051848446691732E-2</v>
      </c>
    </row>
    <row r="242" spans="2:15" s="18" customFormat="1" ht="13.8" x14ac:dyDescent="0.3">
      <c r="B242" s="19"/>
      <c r="C242" s="20" t="s">
        <v>599</v>
      </c>
      <c r="D242" s="32" t="s">
        <v>600</v>
      </c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2:15" x14ac:dyDescent="0.3">
      <c r="B243" s="21">
        <v>145</v>
      </c>
      <c r="C243" s="22" t="s">
        <v>601</v>
      </c>
      <c r="D243" s="23" t="s">
        <v>602</v>
      </c>
      <c r="E243" s="23" t="s">
        <v>603</v>
      </c>
      <c r="F243" s="24">
        <v>1</v>
      </c>
      <c r="G243" s="25">
        <v>1</v>
      </c>
      <c r="H243" s="26">
        <f>F243 * G243 * 22.110056</f>
        <v>22.110056</v>
      </c>
      <c r="I243" s="26">
        <f>F243 * G243 * 718.12507</f>
        <v>718.12507000000005</v>
      </c>
      <c r="J243" s="26">
        <f>F243 * G243 * 0</f>
        <v>0</v>
      </c>
      <c r="K243" s="26">
        <f>F243 * G243 * 21.053195</f>
        <v>21.053194999999999</v>
      </c>
      <c r="L243" s="26">
        <f>F243 * G243 * 80.78244</f>
        <v>80.782439999999994</v>
      </c>
      <c r="M243" s="26">
        <f>F243 * G243 * 4.422011</f>
        <v>4.4220110000000004</v>
      </c>
      <c r="N243" s="27">
        <f>SUM(H243:M243)</f>
        <v>846.49277199999995</v>
      </c>
      <c r="O243" s="28">
        <f>IF(O3&gt;0,N243/O3/12,0)</f>
        <v>7.4680610577652603E-3</v>
      </c>
    </row>
    <row r="244" spans="2:15" s="18" customFormat="1" ht="13.8" x14ac:dyDescent="0.3">
      <c r="B244" s="19"/>
      <c r="C244" s="20" t="s">
        <v>604</v>
      </c>
      <c r="D244" s="32" t="s">
        <v>605</v>
      </c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2:15" ht="41.4" x14ac:dyDescent="0.3">
      <c r="B245" s="21">
        <v>146</v>
      </c>
      <c r="C245" s="22" t="s">
        <v>606</v>
      </c>
      <c r="D245" s="23" t="s">
        <v>607</v>
      </c>
      <c r="E245" s="23" t="s">
        <v>608</v>
      </c>
      <c r="F245" s="24">
        <v>4.5699999999999998E-2</v>
      </c>
      <c r="G245" s="25">
        <v>10</v>
      </c>
      <c r="H245" s="26">
        <f>F245 * G245 * 5276.49948</f>
        <v>2411.36026236</v>
      </c>
      <c r="I245" s="26">
        <f>F245 * G245 * 0</f>
        <v>0</v>
      </c>
      <c r="J245" s="26">
        <f>F245 * G245 * 0</f>
        <v>0</v>
      </c>
      <c r="K245" s="26">
        <f>F245 * G245 * 5024.282805</f>
        <v>2296.0972418849997</v>
      </c>
      <c r="L245" s="26">
        <f>F245 * G245 * 1198.06667</f>
        <v>547.51646818999996</v>
      </c>
      <c r="M245" s="26">
        <f>F245 * G245 * 1055.299896</f>
        <v>482.27205247199993</v>
      </c>
      <c r="N245" s="27">
        <f>SUM(H245:M245)</f>
        <v>5737.2460249069991</v>
      </c>
      <c r="O245" s="28">
        <f>IF(O3&gt;0,N245/O3/12,0)</f>
        <v>5.061603008870879E-2</v>
      </c>
    </row>
    <row r="246" spans="2:15" s="18" customFormat="1" ht="13.8" x14ac:dyDescent="0.3">
      <c r="B246" s="19"/>
      <c r="C246" s="20" t="s">
        <v>609</v>
      </c>
      <c r="D246" s="32" t="s">
        <v>610</v>
      </c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2:15" ht="41.4" x14ac:dyDescent="0.3">
      <c r="B247" s="21">
        <v>147</v>
      </c>
      <c r="C247" s="22" t="s">
        <v>611</v>
      </c>
      <c r="D247" s="23" t="s">
        <v>612</v>
      </c>
      <c r="E247" s="23" t="s">
        <v>608</v>
      </c>
      <c r="F247" s="24">
        <v>4.5699999999999998E-2</v>
      </c>
      <c r="G247" s="25">
        <v>6</v>
      </c>
      <c r="H247" s="26">
        <f>F247 * G247 * 23410.88052</f>
        <v>6419.2634385839992</v>
      </c>
      <c r="I247" s="26">
        <f>F247 * G247 * 0</f>
        <v>0</v>
      </c>
      <c r="J247" s="26">
        <f>F247 * G247 * 0</f>
        <v>0</v>
      </c>
      <c r="K247" s="26">
        <f>F247 * G247 * 22291.840431</f>
        <v>6112.4226461802</v>
      </c>
      <c r="L247" s="26">
        <f>F247 * G247 * 5315.606639</f>
        <v>1457.5393404137999</v>
      </c>
      <c r="M247" s="26">
        <f>F247 * G247 * 4682.176104</f>
        <v>1283.8526877168001</v>
      </c>
      <c r="N247" s="27">
        <f>SUM(H247:M247)</f>
        <v>15273.078112894798</v>
      </c>
      <c r="O247" s="28">
        <f>IF(O3&gt;0,N247/O3/12,0)</f>
        <v>0.13474454083952483</v>
      </c>
    </row>
    <row r="248" spans="2:15" s="18" customFormat="1" ht="13.8" x14ac:dyDescent="0.3">
      <c r="B248" s="19"/>
      <c r="C248" s="20" t="s">
        <v>613</v>
      </c>
      <c r="D248" s="32" t="s">
        <v>614</v>
      </c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2:15" ht="41.4" x14ac:dyDescent="0.3">
      <c r="B249" s="21">
        <v>148</v>
      </c>
      <c r="C249" s="22" t="s">
        <v>615</v>
      </c>
      <c r="D249" s="23" t="s">
        <v>616</v>
      </c>
      <c r="E249" s="23" t="s">
        <v>608</v>
      </c>
      <c r="F249" s="24">
        <v>4.5699999999999998E-2</v>
      </c>
      <c r="G249" s="25">
        <v>4</v>
      </c>
      <c r="H249" s="26">
        <f>F249 * G249 * 147724.17948</f>
        <v>27003.980008943996</v>
      </c>
      <c r="I249" s="26">
        <f>F249 * G249 * 0</f>
        <v>0</v>
      </c>
      <c r="J249" s="26">
        <f>F249 * G249 * 0</f>
        <v>0</v>
      </c>
      <c r="K249" s="26">
        <f>F249 * G249 * 140662.963701</f>
        <v>25713.1897645428</v>
      </c>
      <c r="L249" s="26">
        <f>F249 * G249 * 33541.8237919999</f>
        <v>6131.445389177582</v>
      </c>
      <c r="M249" s="26">
        <f>F249 * G249 * 29544.835896</f>
        <v>5400.7960017887999</v>
      </c>
      <c r="N249" s="27">
        <f>SUM(H249:M249)</f>
        <v>64249.41116445318</v>
      </c>
      <c r="O249" s="28">
        <f>IF(O3&gt;0,N249/O3/12,0)</f>
        <v>0.5668312138896815</v>
      </c>
    </row>
    <row r="250" spans="2:15" s="18" customFormat="1" ht="13.8" x14ac:dyDescent="0.3">
      <c r="B250" s="19"/>
      <c r="C250" s="20" t="s">
        <v>617</v>
      </c>
      <c r="D250" s="32" t="s">
        <v>618</v>
      </c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2:15" ht="27.6" x14ac:dyDescent="0.3">
      <c r="B251" s="21">
        <v>149</v>
      </c>
      <c r="C251" s="22" t="s">
        <v>619</v>
      </c>
      <c r="D251" s="23" t="s">
        <v>620</v>
      </c>
      <c r="E251" s="23" t="s">
        <v>621</v>
      </c>
      <c r="F251" s="24">
        <v>16.190000000000001</v>
      </c>
      <c r="G251" s="25">
        <v>1</v>
      </c>
      <c r="H251" s="26">
        <f>F251 * G251 * 771.5916</f>
        <v>12492.068004000001</v>
      </c>
      <c r="I251" s="26">
        <f>F251 * G251 * 0</f>
        <v>0</v>
      </c>
      <c r="J251" s="26">
        <f>F251 * G251 * 0</f>
        <v>0</v>
      </c>
      <c r="K251" s="26">
        <f>F251 * G251 * 734.709522</f>
        <v>11894.94716118</v>
      </c>
      <c r="L251" s="26">
        <f>F251 * G251 * 175.195351</f>
        <v>2836.4127326900002</v>
      </c>
      <c r="M251" s="26">
        <f>F251 * G251 * 154.31832</f>
        <v>2498.4136008</v>
      </c>
      <c r="N251" s="27">
        <f>SUM(H251:M251)</f>
        <v>29721.841498670001</v>
      </c>
      <c r="O251" s="28">
        <f>IF(O3&gt;0,N251/O3/12,0)</f>
        <v>0.26221668324096326</v>
      </c>
    </row>
    <row r="252" spans="2:15" x14ac:dyDescent="0.3">
      <c r="B252" s="21">
        <v>150</v>
      </c>
      <c r="C252" s="22" t="s">
        <v>622</v>
      </c>
      <c r="D252" s="23" t="s">
        <v>623</v>
      </c>
      <c r="E252" s="23" t="s">
        <v>624</v>
      </c>
      <c r="F252" s="24">
        <v>16.190000000000001</v>
      </c>
      <c r="G252" s="25">
        <v>1</v>
      </c>
      <c r="H252" s="26">
        <f>F252 * G252 * 237.4128</f>
        <v>3843.7132320000005</v>
      </c>
      <c r="I252" s="26">
        <f>F252 * G252 * 0</f>
        <v>0</v>
      </c>
      <c r="J252" s="26">
        <f>F252 * G252 * 0</f>
        <v>0</v>
      </c>
      <c r="K252" s="26">
        <f>F252 * G252 * 226.064468</f>
        <v>3659.9837369200004</v>
      </c>
      <c r="L252" s="26">
        <f>F252 * G252 * 53.906262</f>
        <v>872.74238178000007</v>
      </c>
      <c r="M252" s="26">
        <f>F252 * G252 * 47.48256</f>
        <v>768.74264640000001</v>
      </c>
      <c r="N252" s="27">
        <f>SUM(H252:M252)</f>
        <v>9145.1819971000023</v>
      </c>
      <c r="O252" s="28">
        <f>IF(O3&gt;0,N252/O3/12,0)</f>
        <v>8.0682056359860407E-2</v>
      </c>
    </row>
    <row r="253" spans="2:15" x14ac:dyDescent="0.3">
      <c r="B253" s="21">
        <v>151</v>
      </c>
      <c r="C253" s="22" t="s">
        <v>625</v>
      </c>
      <c r="D253" s="23" t="s">
        <v>626</v>
      </c>
      <c r="E253" s="23" t="s">
        <v>627</v>
      </c>
      <c r="F253" s="24">
        <v>50</v>
      </c>
      <c r="G253" s="25">
        <v>1</v>
      </c>
      <c r="H253" s="26">
        <f>F253 * G253 * 115.085855</f>
        <v>5754.2927499999996</v>
      </c>
      <c r="I253" s="26">
        <f>F253 * G253 * 0</f>
        <v>0</v>
      </c>
      <c r="J253" s="26">
        <f>F253 * G253 * 0</f>
        <v>0</v>
      </c>
      <c r="K253" s="26">
        <f>F253 * G253 * 109.584751</f>
        <v>5479.2375499999998</v>
      </c>
      <c r="L253" s="26">
        <f>F253 * G253 * 26.131061</f>
        <v>1306.55305</v>
      </c>
      <c r="M253" s="26">
        <f>F253 * G253 * 23.017171</f>
        <v>1150.8585500000002</v>
      </c>
      <c r="N253" s="27">
        <f>SUM(H253:M253)</f>
        <v>13690.9419</v>
      </c>
      <c r="O253" s="28">
        <f>IF(O3&gt;0,N253/O3/12,0)</f>
        <v>0.12078637104714313</v>
      </c>
    </row>
    <row r="254" spans="2:15" s="18" customFormat="1" ht="13.8" x14ac:dyDescent="0.3">
      <c r="B254" s="19"/>
      <c r="C254" s="20" t="s">
        <v>628</v>
      </c>
      <c r="D254" s="32" t="s">
        <v>629</v>
      </c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2:15" ht="27.6" x14ac:dyDescent="0.3">
      <c r="B255" s="21">
        <v>152</v>
      </c>
      <c r="C255" s="22" t="s">
        <v>630</v>
      </c>
      <c r="D255" s="23" t="s">
        <v>631</v>
      </c>
      <c r="E255" s="23" t="s">
        <v>632</v>
      </c>
      <c r="F255" s="24">
        <v>4.57</v>
      </c>
      <c r="G255" s="25">
        <v>5</v>
      </c>
      <c r="H255" s="26">
        <f>F255 * G255 * 0</f>
        <v>0</v>
      </c>
      <c r="I255" s="26">
        <f>F255 * G255 * 0</f>
        <v>0</v>
      </c>
      <c r="J255" s="26">
        <f>F255 * G255 * 96.768837</f>
        <v>2211.1679254500004</v>
      </c>
      <c r="K255" s="26">
        <f>F255 * G255 * 62.417035</f>
        <v>1426.22924975</v>
      </c>
      <c r="L255" s="26">
        <f>F255 * G255 * 18.177222</f>
        <v>415.34952270000002</v>
      </c>
      <c r="M255" s="26">
        <f>F255 * G255 * 13.110068</f>
        <v>299.56505380000004</v>
      </c>
      <c r="N255" s="27">
        <f>SUM(H255:M255)</f>
        <v>4352.311751700001</v>
      </c>
      <c r="O255" s="28">
        <f>IF(O3&gt;0,N255/O3/12,0)</f>
        <v>3.8397646122044958E-2</v>
      </c>
    </row>
    <row r="256" spans="2:15" ht="27.6" x14ac:dyDescent="0.3">
      <c r="B256" s="21">
        <v>153</v>
      </c>
      <c r="C256" s="22" t="s">
        <v>633</v>
      </c>
      <c r="D256" s="23" t="s">
        <v>634</v>
      </c>
      <c r="E256" s="23" t="s">
        <v>75</v>
      </c>
      <c r="F256" s="24">
        <v>0.75</v>
      </c>
      <c r="G256" s="25">
        <v>123.5</v>
      </c>
      <c r="H256" s="26">
        <f>F256 * G256 * 273.02472</f>
        <v>25288.914690000001</v>
      </c>
      <c r="I256" s="26">
        <f>F256 * G256 * 0</f>
        <v>0</v>
      </c>
      <c r="J256" s="26">
        <f>F256 * G256 * 0</f>
        <v>0</v>
      </c>
      <c r="K256" s="26">
        <f>F256 * G256 * 259.974138</f>
        <v>24080.104532249999</v>
      </c>
      <c r="L256" s="26">
        <f>F256 * G256 * 61.9922009999999</f>
        <v>5742.0276176249909</v>
      </c>
      <c r="M256" s="26">
        <f>F256 * G256 * 54.604944</f>
        <v>5057.7829380000003</v>
      </c>
      <c r="N256" s="27">
        <f>SUM(H256:M256)</f>
        <v>60168.829777874998</v>
      </c>
      <c r="O256" s="28">
        <f>IF(O3&gt;0,N256/O3/12,0)</f>
        <v>0.53083086993618778</v>
      </c>
    </row>
    <row r="257" spans="2:15" ht="27.6" x14ac:dyDescent="0.3">
      <c r="B257" s="21">
        <v>154</v>
      </c>
      <c r="C257" s="22" t="s">
        <v>635</v>
      </c>
      <c r="D257" s="23" t="s">
        <v>636</v>
      </c>
      <c r="E257" s="23" t="s">
        <v>75</v>
      </c>
      <c r="F257" s="24">
        <v>0.75</v>
      </c>
      <c r="G257" s="25">
        <v>123.5</v>
      </c>
      <c r="H257" s="26">
        <f>F257 * G257 * 50.45022</f>
        <v>4672.9516275000005</v>
      </c>
      <c r="I257" s="26">
        <f>F257 * G257 * 0.243874</f>
        <v>22.58882925</v>
      </c>
      <c r="J257" s="26">
        <f>F257 * G257 * 0</f>
        <v>0</v>
      </c>
      <c r="K257" s="26">
        <f>F257 * G257 * 48.0386989999999</f>
        <v>4449.5844948749909</v>
      </c>
      <c r="L257" s="26">
        <f>F257 * G257 * 11.480809</f>
        <v>1063.4099336250001</v>
      </c>
      <c r="M257" s="26">
        <f>F257 * G257 * 10.090044</f>
        <v>934.59032550000006</v>
      </c>
      <c r="N257" s="27">
        <f>SUM(H257:M257)</f>
        <v>11143.125210749991</v>
      </c>
      <c r="O257" s="28">
        <f>IF(O3&gt;0,N257/O3/12,0)</f>
        <v>9.830862377192788E-2</v>
      </c>
    </row>
    <row r="258" spans="2:15" x14ac:dyDescent="0.3">
      <c r="B258" s="21">
        <v>155</v>
      </c>
      <c r="C258" s="22" t="s">
        <v>637</v>
      </c>
      <c r="D258" s="23" t="s">
        <v>638</v>
      </c>
      <c r="E258" s="23" t="s">
        <v>75</v>
      </c>
      <c r="F258" s="24">
        <v>0.06</v>
      </c>
      <c r="G258" s="25">
        <v>123.5</v>
      </c>
      <c r="H258" s="26">
        <f>F258 * G258 * 1187.064</f>
        <v>8796.1442400000014</v>
      </c>
      <c r="I258" s="26">
        <f>F258 * G258 * 0</f>
        <v>0</v>
      </c>
      <c r="J258" s="26">
        <f>F258 * G258 * 0</f>
        <v>0</v>
      </c>
      <c r="K258" s="26">
        <f>F258 * G258 * 1130.322341</f>
        <v>8375.6885468100008</v>
      </c>
      <c r="L258" s="26">
        <f>F258 * G258 * 269.53131</f>
        <v>1997.2270071000003</v>
      </c>
      <c r="M258" s="26">
        <f>F258 * G258 * 237.4128</f>
        <v>1759.228848</v>
      </c>
      <c r="N258" s="27">
        <f>SUM(H258:M258)</f>
        <v>20928.288641910003</v>
      </c>
      <c r="O258" s="28">
        <f>IF(O3&gt;0,N258/O3/12,0)</f>
        <v>0.18463682453312091</v>
      </c>
    </row>
    <row r="259" spans="2:15" x14ac:dyDescent="0.3">
      <c r="B259" s="21">
        <v>156</v>
      </c>
      <c r="C259" s="22" t="s">
        <v>639</v>
      </c>
      <c r="D259" s="23" t="s">
        <v>640</v>
      </c>
      <c r="E259" s="23" t="s">
        <v>593</v>
      </c>
      <c r="F259" s="24">
        <v>0.06</v>
      </c>
      <c r="G259" s="25">
        <v>123.5</v>
      </c>
      <c r="H259" s="26">
        <f>F259 * G259 * 480.76092</f>
        <v>3562.4384172</v>
      </c>
      <c r="I259" s="26">
        <f>F259 * G259 * 2.33496</f>
        <v>17.302053600000001</v>
      </c>
      <c r="J259" s="26">
        <f>F259 * G259 * 0</f>
        <v>0</v>
      </c>
      <c r="K259" s="26">
        <f>F259 * G259 * 457.780548</f>
        <v>3392.15386068</v>
      </c>
      <c r="L259" s="26">
        <f>F259 * G259 * 109.406519</f>
        <v>810.70230579000008</v>
      </c>
      <c r="M259" s="26">
        <f>F259 * G259 * 96.152184</f>
        <v>712.48768344000007</v>
      </c>
      <c r="N259" s="27">
        <f>SUM(H259:M259)</f>
        <v>8495.0843207100006</v>
      </c>
      <c r="O259" s="28">
        <f>IF(O3&gt;0,N259/O3/12,0)</f>
        <v>7.4946662861672508E-2</v>
      </c>
    </row>
    <row r="260" spans="2:15" s="15" customFormat="1" ht="14.4" x14ac:dyDescent="0.3">
      <c r="B260" s="16"/>
      <c r="C260" s="17" t="s">
        <v>641</v>
      </c>
      <c r="D260" s="33" t="s">
        <v>642</v>
      </c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2:15" s="18" customFormat="1" ht="13.8" x14ac:dyDescent="0.3">
      <c r="B261" s="19"/>
      <c r="C261" s="20" t="s">
        <v>643</v>
      </c>
      <c r="D261" s="32" t="s">
        <v>644</v>
      </c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2:15" ht="41.4" x14ac:dyDescent="0.3">
      <c r="B262" s="21">
        <v>157</v>
      </c>
      <c r="C262" s="22" t="s">
        <v>645</v>
      </c>
      <c r="D262" s="23" t="s">
        <v>646</v>
      </c>
      <c r="E262" s="23" t="s">
        <v>647</v>
      </c>
      <c r="F262" s="24">
        <v>2.4990000000000001</v>
      </c>
      <c r="G262" s="25">
        <v>0.2</v>
      </c>
      <c r="H262" s="26">
        <f>F262 * G262 * 1314.00071</f>
        <v>656.73755485800007</v>
      </c>
      <c r="I262" s="26">
        <f>F262 * G262 * 59.5584</f>
        <v>29.767288320000002</v>
      </c>
      <c r="J262" s="26">
        <f>F262 * G262 * 0</f>
        <v>0</v>
      </c>
      <c r="K262" s="26">
        <f>F262 * G262 * 1251.191477</f>
        <v>625.34550020460006</v>
      </c>
      <c r="L262" s="26">
        <f>F262 * G262 * 304.636602</f>
        <v>152.25737367959999</v>
      </c>
      <c r="M262" s="26">
        <f>F262 * G262 * 262.800142</f>
        <v>131.3475109716</v>
      </c>
      <c r="N262" s="27">
        <f>SUM(H262:M262)</f>
        <v>1595.4552280338003</v>
      </c>
      <c r="O262" s="28">
        <f>IF(O3&gt;0,N262/O3/12,0)</f>
        <v>1.4075674892930117E-2</v>
      </c>
    </row>
    <row r="263" spans="2:15" ht="41.4" x14ac:dyDescent="0.3">
      <c r="B263" s="21">
        <v>158</v>
      </c>
      <c r="C263" s="22" t="s">
        <v>648</v>
      </c>
      <c r="D263" s="23" t="s">
        <v>649</v>
      </c>
      <c r="E263" s="23" t="s">
        <v>647</v>
      </c>
      <c r="F263" s="24">
        <v>1.2490000000000001</v>
      </c>
      <c r="G263" s="25">
        <v>0.5</v>
      </c>
      <c r="H263" s="26">
        <f>F263 * G263 * 936.225506</f>
        <v>584.67282849700007</v>
      </c>
      <c r="I263" s="26">
        <f>F263 * G263 * 564</f>
        <v>352.21800000000002</v>
      </c>
      <c r="J263" s="26">
        <f>F263 * G263 * 0</f>
        <v>0</v>
      </c>
      <c r="K263" s="26">
        <f>F263 * G263 * 891.473927</f>
        <v>556.72546741150006</v>
      </c>
      <c r="L263" s="26">
        <f>F263 * G263 * 272.078649</f>
        <v>169.91311630050001</v>
      </c>
      <c r="M263" s="26">
        <f>F263 * G263 * 187.245101</f>
        <v>116.93456557450001</v>
      </c>
      <c r="N263" s="27">
        <f>SUM(H263:M263)</f>
        <v>1780.4639777835</v>
      </c>
      <c r="O263" s="28">
        <f>IF(O3&gt;0,N263/O3/12,0)</f>
        <v>1.570788804944313E-2</v>
      </c>
    </row>
    <row r="264" spans="2:15" s="18" customFormat="1" ht="13.8" x14ac:dyDescent="0.3">
      <c r="B264" s="19"/>
      <c r="C264" s="20" t="s">
        <v>650</v>
      </c>
      <c r="D264" s="32" t="s">
        <v>651</v>
      </c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2:15" s="18" customFormat="1" ht="13.8" x14ac:dyDescent="0.3">
      <c r="B265" s="19"/>
      <c r="C265" s="20" t="s">
        <v>652</v>
      </c>
      <c r="D265" s="34" t="s">
        <v>653</v>
      </c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2:15" ht="82.8" x14ac:dyDescent="0.3">
      <c r="B266" s="21">
        <v>159</v>
      </c>
      <c r="C266" s="22" t="s">
        <v>654</v>
      </c>
      <c r="D266" s="23" t="s">
        <v>655</v>
      </c>
      <c r="E266" s="23" t="s">
        <v>656</v>
      </c>
      <c r="F266" s="24">
        <v>9.0289999999999999</v>
      </c>
      <c r="G266" s="25">
        <v>3</v>
      </c>
      <c r="H266" s="26">
        <f>F266 * G266 * 2922.124225</f>
        <v>79151.578882575006</v>
      </c>
      <c r="I266" s="26">
        <f>F266 * G266 * 0</f>
        <v>0</v>
      </c>
      <c r="J266" s="26">
        <f>F266 * G266 * 0</f>
        <v>0</v>
      </c>
      <c r="K266" s="26">
        <f>F266 * G266 * 2782.446687</f>
        <v>75368.133410769005</v>
      </c>
      <c r="L266" s="26">
        <f>F266 * G266 * 663.489053</f>
        <v>17971.927978611002</v>
      </c>
      <c r="M266" s="26">
        <f>F266 * G266 * 584.424845</f>
        <v>15830.315776515001</v>
      </c>
      <c r="N266" s="27">
        <f>SUM(H266:M266)</f>
        <v>188321.95604847002</v>
      </c>
      <c r="O266" s="28">
        <f>IF(O3&gt;0,N266/O3/12,0)</f>
        <v>1.6614434438286734</v>
      </c>
    </row>
    <row r="267" spans="2:15" s="29" customFormat="1" ht="19.95" customHeight="1" x14ac:dyDescent="0.3">
      <c r="B267" s="35" t="s">
        <v>657</v>
      </c>
      <c r="C267" s="35"/>
      <c r="D267" s="35"/>
      <c r="E267" s="35"/>
      <c r="F267" s="35"/>
      <c r="G267" s="35"/>
      <c r="H267" s="30">
        <f t="shared" ref="H267:O267" si="11">SUM(H4:H266)</f>
        <v>1865115.4895045164</v>
      </c>
      <c r="I267" s="30">
        <f t="shared" si="11"/>
        <v>279392.38832373923</v>
      </c>
      <c r="J267" s="30">
        <f t="shared" si="11"/>
        <v>4872.0272618340005</v>
      </c>
      <c r="K267" s="30">
        <f t="shared" si="11"/>
        <v>1777431.2190289092</v>
      </c>
      <c r="L267" s="30">
        <f t="shared" si="11"/>
        <v>453665.04688049812</v>
      </c>
      <c r="M267" s="30">
        <f t="shared" si="11"/>
        <v>373331.48953282333</v>
      </c>
      <c r="N267" s="30">
        <f t="shared" si="11"/>
        <v>4753807.6605323199</v>
      </c>
      <c r="O267" s="31">
        <f t="shared" si="11"/>
        <v>41.93978618606279</v>
      </c>
    </row>
  </sheetData>
  <mergeCells count="108">
    <mergeCell ref="B2:L3"/>
    <mergeCell ref="M2:N2"/>
    <mergeCell ref="M3:N3"/>
    <mergeCell ref="D4:O4"/>
    <mergeCell ref="D5:O5"/>
    <mergeCell ref="D7:O7"/>
    <mergeCell ref="D9:O9"/>
    <mergeCell ref="D14:O14"/>
    <mergeCell ref="D15:O15"/>
    <mergeCell ref="D16:O16"/>
    <mergeCell ref="D19:O19"/>
    <mergeCell ref="D20:O20"/>
    <mergeCell ref="D22:O22"/>
    <mergeCell ref="D23:O23"/>
    <mergeCell ref="D25:O25"/>
    <mergeCell ref="D29:O29"/>
    <mergeCell ref="D30:O30"/>
    <mergeCell ref="D32:O32"/>
    <mergeCell ref="D33:O33"/>
    <mergeCell ref="D34:O34"/>
    <mergeCell ref="D36:O36"/>
    <mergeCell ref="D37:O37"/>
    <mergeCell ref="D39:O39"/>
    <mergeCell ref="D41:O41"/>
    <mergeCell ref="D43:O43"/>
    <mergeCell ref="D44:O44"/>
    <mergeCell ref="D55:O55"/>
    <mergeCell ref="D57:O57"/>
    <mergeCell ref="D58:O58"/>
    <mergeCell ref="D60:O60"/>
    <mergeCell ref="D61:O61"/>
    <mergeCell ref="D63:O63"/>
    <mergeCell ref="D65:O65"/>
    <mergeCell ref="D67:O67"/>
    <mergeCell ref="D68:O68"/>
    <mergeCell ref="D69:O69"/>
    <mergeCell ref="D71:O71"/>
    <mergeCell ref="D72:O72"/>
    <mergeCell ref="D74:O74"/>
    <mergeCell ref="D76:O76"/>
    <mergeCell ref="D77:O77"/>
    <mergeCell ref="D79:O79"/>
    <mergeCell ref="D81:O81"/>
    <mergeCell ref="D82:O82"/>
    <mergeCell ref="D83:O83"/>
    <mergeCell ref="D87:O87"/>
    <mergeCell ref="D89:O89"/>
    <mergeCell ref="D90:O90"/>
    <mergeCell ref="D92:O92"/>
    <mergeCell ref="D93:O93"/>
    <mergeCell ref="D98:O98"/>
    <mergeCell ref="D99:O99"/>
    <mergeCell ref="D100:O100"/>
    <mergeCell ref="D102:O102"/>
    <mergeCell ref="D103:O103"/>
    <mergeCell ref="D107:O107"/>
    <mergeCell ref="D108:O108"/>
    <mergeCell ref="D111:O111"/>
    <mergeCell ref="D113:O113"/>
    <mergeCell ref="D116:O116"/>
    <mergeCell ref="D117:O117"/>
    <mergeCell ref="D119:O119"/>
    <mergeCell ref="D124:O124"/>
    <mergeCell ref="D126:O126"/>
    <mergeCell ref="D128:O128"/>
    <mergeCell ref="D130:O130"/>
    <mergeCell ref="D133:O133"/>
    <mergeCell ref="D134:O134"/>
    <mergeCell ref="D137:O137"/>
    <mergeCell ref="D139:O139"/>
    <mergeCell ref="D141:O141"/>
    <mergeCell ref="D143:O143"/>
    <mergeCell ref="D145:O145"/>
    <mergeCell ref="D147:O147"/>
    <mergeCell ref="D148:O148"/>
    <mergeCell ref="D150:O150"/>
    <mergeCell ref="D152:O152"/>
    <mergeCell ref="D161:O161"/>
    <mergeCell ref="D162:O162"/>
    <mergeCell ref="D189:O189"/>
    <mergeCell ref="D205:O205"/>
    <mergeCell ref="D206:O206"/>
    <mergeCell ref="D209:O209"/>
    <mergeCell ref="D210:O210"/>
    <mergeCell ref="D211:O211"/>
    <mergeCell ref="D212:O212"/>
    <mergeCell ref="D215:O215"/>
    <mergeCell ref="D219:O219"/>
    <mergeCell ref="D222:O222"/>
    <mergeCell ref="D225:O225"/>
    <mergeCell ref="D226:O226"/>
    <mergeCell ref="D228:O228"/>
    <mergeCell ref="D232:O232"/>
    <mergeCell ref="D233:O233"/>
    <mergeCell ref="D235:O235"/>
    <mergeCell ref="D236:O236"/>
    <mergeCell ref="D240:O240"/>
    <mergeCell ref="D242:O242"/>
    <mergeCell ref="D244:O244"/>
    <mergeCell ref="D246:O246"/>
    <mergeCell ref="D248:O248"/>
    <mergeCell ref="D250:O250"/>
    <mergeCell ref="D254:O254"/>
    <mergeCell ref="D260:O260"/>
    <mergeCell ref="D261:O261"/>
    <mergeCell ref="D264:O264"/>
    <mergeCell ref="D265:O265"/>
    <mergeCell ref="B267:G267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&amp;C&amp;KCCCCCC&amp;"Arial"1.3 МКД квартирного типа с лифтом, без мусоропровода, с газоснабжением, с уборкой мест общего пользования и придомовой территории ООО Квартал 2026г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1.3 МКД квартирного типа с лифтом, без мусоропровода, с газоснабжением, с уборкой мест общего пользования и придомовой территории ООО Квартал 2026г</dc:title>
  <dc:subject/>
  <dc:creator/>
  <cp:keywords/>
  <dc:description/>
  <cp:lastModifiedBy/>
  <cp:lastPrinted>2025-12-10T11:53:06Z</cp:lastPrinted>
  <dcterms:created xsi:type="dcterms:W3CDTF">2025-12-10T11:53:06Z</dcterms:created>
  <dcterms:modified xsi:type="dcterms:W3CDTF">2025-12-10T11:57:41Z</dcterms:modified>
  <cp:category/>
</cp:coreProperties>
</file>