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3040" windowHeight="9384"/>
  </bookViews>
  <sheets>
    <sheet name="Смета" sheetId="1" r:id="rId1"/>
  </sheets>
  <definedNames>
    <definedName name="_xlnm.Print_Titles" localSheetId="0">Смета!$1:$1</definedName>
  </definedNames>
  <calcPr calcId="152511"/>
</workbook>
</file>

<file path=xl/calcChain.xml><?xml version="1.0" encoding="utf-8"?>
<calcChain xmlns="http://schemas.openxmlformats.org/spreadsheetml/2006/main">
  <c r="M204" i="1" l="1"/>
  <c r="L204" i="1"/>
  <c r="K204" i="1"/>
  <c r="J204" i="1"/>
  <c r="I204" i="1"/>
  <c r="H204" i="1"/>
  <c r="N204" i="1" s="1"/>
  <c r="O204" i="1" s="1"/>
  <c r="M201" i="1"/>
  <c r="L201" i="1"/>
  <c r="K201" i="1"/>
  <c r="J201" i="1"/>
  <c r="I201" i="1"/>
  <c r="H201" i="1"/>
  <c r="N201" i="1" s="1"/>
  <c r="O201" i="1" s="1"/>
  <c r="M200" i="1"/>
  <c r="L200" i="1"/>
  <c r="K200" i="1"/>
  <c r="J200" i="1"/>
  <c r="I200" i="1"/>
  <c r="H200" i="1"/>
  <c r="N200" i="1" s="1"/>
  <c r="O200" i="1" s="1"/>
  <c r="M197" i="1"/>
  <c r="L197" i="1"/>
  <c r="K197" i="1"/>
  <c r="J197" i="1"/>
  <c r="I197" i="1"/>
  <c r="H197" i="1"/>
  <c r="N197" i="1" s="1"/>
  <c r="O197" i="1" s="1"/>
  <c r="M196" i="1"/>
  <c r="L196" i="1"/>
  <c r="K196" i="1"/>
  <c r="J196" i="1"/>
  <c r="I196" i="1"/>
  <c r="H196" i="1"/>
  <c r="N196" i="1" s="1"/>
  <c r="O196" i="1" s="1"/>
  <c r="M195" i="1"/>
  <c r="L195" i="1"/>
  <c r="K195" i="1"/>
  <c r="J195" i="1"/>
  <c r="I195" i="1"/>
  <c r="H195" i="1"/>
  <c r="N195" i="1" s="1"/>
  <c r="O195" i="1" s="1"/>
  <c r="M194" i="1"/>
  <c r="L194" i="1"/>
  <c r="K194" i="1"/>
  <c r="J194" i="1"/>
  <c r="I194" i="1"/>
  <c r="H194" i="1"/>
  <c r="N194" i="1" s="1"/>
  <c r="O194" i="1" s="1"/>
  <c r="M192" i="1"/>
  <c r="L192" i="1"/>
  <c r="K192" i="1"/>
  <c r="J192" i="1"/>
  <c r="I192" i="1"/>
  <c r="H192" i="1"/>
  <c r="N192" i="1" s="1"/>
  <c r="O192" i="1" s="1"/>
  <c r="M191" i="1"/>
  <c r="L191" i="1"/>
  <c r="K191" i="1"/>
  <c r="J191" i="1"/>
  <c r="I191" i="1"/>
  <c r="H191" i="1"/>
  <c r="N191" i="1" s="1"/>
  <c r="O191" i="1" s="1"/>
  <c r="M190" i="1"/>
  <c r="L190" i="1"/>
  <c r="K190" i="1"/>
  <c r="J190" i="1"/>
  <c r="I190" i="1"/>
  <c r="H190" i="1"/>
  <c r="N190" i="1" s="1"/>
  <c r="O190" i="1" s="1"/>
  <c r="M189" i="1"/>
  <c r="L189" i="1"/>
  <c r="K189" i="1"/>
  <c r="J189" i="1"/>
  <c r="I189" i="1"/>
  <c r="H189" i="1"/>
  <c r="N189" i="1" s="1"/>
  <c r="O189" i="1" s="1"/>
  <c r="M187" i="1"/>
  <c r="L187" i="1"/>
  <c r="K187" i="1"/>
  <c r="J187" i="1"/>
  <c r="I187" i="1"/>
  <c r="H187" i="1"/>
  <c r="N187" i="1" s="1"/>
  <c r="O187" i="1" s="1"/>
  <c r="M186" i="1"/>
  <c r="L186" i="1"/>
  <c r="K186" i="1"/>
  <c r="J186" i="1"/>
  <c r="I186" i="1"/>
  <c r="H186" i="1"/>
  <c r="N186" i="1" s="1"/>
  <c r="O186" i="1" s="1"/>
  <c r="M185" i="1"/>
  <c r="L185" i="1"/>
  <c r="K185" i="1"/>
  <c r="J185" i="1"/>
  <c r="I185" i="1"/>
  <c r="H185" i="1"/>
  <c r="N185" i="1" s="1"/>
  <c r="O185" i="1" s="1"/>
  <c r="M183" i="1"/>
  <c r="L183" i="1"/>
  <c r="K183" i="1"/>
  <c r="J183" i="1"/>
  <c r="I183" i="1"/>
  <c r="H183" i="1"/>
  <c r="N183" i="1" s="1"/>
  <c r="O183" i="1" s="1"/>
  <c r="M181" i="1"/>
  <c r="L181" i="1"/>
  <c r="K181" i="1"/>
  <c r="J181" i="1"/>
  <c r="I181" i="1"/>
  <c r="H181" i="1"/>
  <c r="N181" i="1" s="1"/>
  <c r="O181" i="1" s="1"/>
  <c r="M179" i="1"/>
  <c r="L179" i="1"/>
  <c r="K179" i="1"/>
  <c r="J179" i="1"/>
  <c r="I179" i="1"/>
  <c r="H179" i="1"/>
  <c r="N179" i="1" s="1"/>
  <c r="O179" i="1" s="1"/>
  <c r="M177" i="1"/>
  <c r="L177" i="1"/>
  <c r="K177" i="1"/>
  <c r="J177" i="1"/>
  <c r="I177" i="1"/>
  <c r="H177" i="1"/>
  <c r="N177" i="1" s="1"/>
  <c r="O177" i="1" s="1"/>
  <c r="M176" i="1"/>
  <c r="L176" i="1"/>
  <c r="K176" i="1"/>
  <c r="J176" i="1"/>
  <c r="I176" i="1"/>
  <c r="H176" i="1"/>
  <c r="N176" i="1" s="1"/>
  <c r="O176" i="1" s="1"/>
  <c r="M175" i="1"/>
  <c r="L175" i="1"/>
  <c r="K175" i="1"/>
  <c r="J175" i="1"/>
  <c r="I175" i="1"/>
  <c r="H175" i="1"/>
  <c r="N175" i="1" s="1"/>
  <c r="O175" i="1" s="1"/>
  <c r="M172" i="1"/>
  <c r="L172" i="1"/>
  <c r="K172" i="1"/>
  <c r="J172" i="1"/>
  <c r="I172" i="1"/>
  <c r="H172" i="1"/>
  <c r="N172" i="1" s="1"/>
  <c r="O172" i="1" s="1"/>
  <c r="M169" i="1"/>
  <c r="L169" i="1"/>
  <c r="K169" i="1"/>
  <c r="J169" i="1"/>
  <c r="I169" i="1"/>
  <c r="H169" i="1"/>
  <c r="N169" i="1" s="1"/>
  <c r="O169" i="1" s="1"/>
  <c r="M168" i="1"/>
  <c r="L168" i="1"/>
  <c r="K168" i="1"/>
  <c r="J168" i="1"/>
  <c r="I168" i="1"/>
  <c r="H168" i="1"/>
  <c r="N168" i="1" s="1"/>
  <c r="O168" i="1" s="1"/>
  <c r="M167" i="1"/>
  <c r="L167" i="1"/>
  <c r="K167" i="1"/>
  <c r="J167" i="1"/>
  <c r="I167" i="1"/>
  <c r="H167" i="1"/>
  <c r="N167" i="1" s="1"/>
  <c r="O167" i="1" s="1"/>
  <c r="M165" i="1"/>
  <c r="L165" i="1"/>
  <c r="K165" i="1"/>
  <c r="J165" i="1"/>
  <c r="I165" i="1"/>
  <c r="H165" i="1"/>
  <c r="N165" i="1" s="1"/>
  <c r="O165" i="1" s="1"/>
  <c r="M162" i="1"/>
  <c r="L162" i="1"/>
  <c r="K162" i="1"/>
  <c r="J162" i="1"/>
  <c r="I162" i="1"/>
  <c r="H162" i="1"/>
  <c r="N162" i="1" s="1"/>
  <c r="O162" i="1" s="1"/>
  <c r="M161" i="1"/>
  <c r="L161" i="1"/>
  <c r="K161" i="1"/>
  <c r="J161" i="1"/>
  <c r="I161" i="1"/>
  <c r="H161" i="1"/>
  <c r="N161" i="1" s="1"/>
  <c r="O161" i="1" s="1"/>
  <c r="M160" i="1"/>
  <c r="L160" i="1"/>
  <c r="K160" i="1"/>
  <c r="J160" i="1"/>
  <c r="I160" i="1"/>
  <c r="H160" i="1"/>
  <c r="N160" i="1" s="1"/>
  <c r="O160" i="1" s="1"/>
  <c r="M159" i="1"/>
  <c r="L159" i="1"/>
  <c r="K159" i="1"/>
  <c r="J159" i="1"/>
  <c r="I159" i="1"/>
  <c r="H159" i="1"/>
  <c r="N159" i="1" s="1"/>
  <c r="O159" i="1" s="1"/>
  <c r="M157" i="1"/>
  <c r="L157" i="1"/>
  <c r="K157" i="1"/>
  <c r="J157" i="1"/>
  <c r="I157" i="1"/>
  <c r="H157" i="1"/>
  <c r="N157" i="1" s="1"/>
  <c r="O157" i="1" s="1"/>
  <c r="M156" i="1"/>
  <c r="L156" i="1"/>
  <c r="K156" i="1"/>
  <c r="J156" i="1"/>
  <c r="I156" i="1"/>
  <c r="H156" i="1"/>
  <c r="N156" i="1" s="1"/>
  <c r="O156" i="1" s="1"/>
  <c r="M154" i="1"/>
  <c r="L154" i="1"/>
  <c r="K154" i="1"/>
  <c r="J154" i="1"/>
  <c r="I154" i="1"/>
  <c r="H154" i="1"/>
  <c r="N154" i="1" s="1"/>
  <c r="O154" i="1" s="1"/>
  <c r="M153" i="1"/>
  <c r="L153" i="1"/>
  <c r="K153" i="1"/>
  <c r="J153" i="1"/>
  <c r="I153" i="1"/>
  <c r="H153" i="1"/>
  <c r="N153" i="1" s="1"/>
  <c r="O153" i="1" s="1"/>
  <c r="M151" i="1"/>
  <c r="L151" i="1"/>
  <c r="K151" i="1"/>
  <c r="J151" i="1"/>
  <c r="I151" i="1"/>
  <c r="H151" i="1"/>
  <c r="N151" i="1" s="1"/>
  <c r="O151" i="1" s="1"/>
  <c r="M150" i="1"/>
  <c r="L150" i="1"/>
  <c r="K150" i="1"/>
  <c r="J150" i="1"/>
  <c r="I150" i="1"/>
  <c r="H150" i="1"/>
  <c r="N150" i="1" s="1"/>
  <c r="O150" i="1" s="1"/>
  <c r="M145" i="1"/>
  <c r="L145" i="1"/>
  <c r="K145" i="1"/>
  <c r="J145" i="1"/>
  <c r="I145" i="1"/>
  <c r="H145" i="1"/>
  <c r="N145" i="1" s="1"/>
  <c r="O145" i="1" s="1"/>
  <c r="M143" i="1"/>
  <c r="L143" i="1"/>
  <c r="K143" i="1"/>
  <c r="J143" i="1"/>
  <c r="I143" i="1"/>
  <c r="H143" i="1"/>
  <c r="N143" i="1" s="1"/>
  <c r="O143" i="1" s="1"/>
  <c r="M142" i="1"/>
  <c r="L142" i="1"/>
  <c r="K142" i="1"/>
  <c r="J142" i="1"/>
  <c r="I142" i="1"/>
  <c r="H142" i="1"/>
  <c r="N142" i="1" s="1"/>
  <c r="O142" i="1" s="1"/>
  <c r="M140" i="1"/>
  <c r="L140" i="1"/>
  <c r="K140" i="1"/>
  <c r="J140" i="1"/>
  <c r="I140" i="1"/>
  <c r="H140" i="1"/>
  <c r="N140" i="1" s="1"/>
  <c r="O140" i="1" s="1"/>
  <c r="M139" i="1"/>
  <c r="L139" i="1"/>
  <c r="K139" i="1"/>
  <c r="J139" i="1"/>
  <c r="I139" i="1"/>
  <c r="H139" i="1"/>
  <c r="N139" i="1" s="1"/>
  <c r="O139" i="1" s="1"/>
  <c r="M136" i="1"/>
  <c r="L136" i="1"/>
  <c r="K136" i="1"/>
  <c r="J136" i="1"/>
  <c r="I136" i="1"/>
  <c r="H136" i="1"/>
  <c r="N136" i="1" s="1"/>
  <c r="O136" i="1" s="1"/>
  <c r="M134" i="1"/>
  <c r="L134" i="1"/>
  <c r="K134" i="1"/>
  <c r="J134" i="1"/>
  <c r="I134" i="1"/>
  <c r="H134" i="1"/>
  <c r="N134" i="1" s="1"/>
  <c r="O134" i="1" s="1"/>
  <c r="M133" i="1"/>
  <c r="L133" i="1"/>
  <c r="K133" i="1"/>
  <c r="J133" i="1"/>
  <c r="I133" i="1"/>
  <c r="H133" i="1"/>
  <c r="N133" i="1" s="1"/>
  <c r="O133" i="1" s="1"/>
  <c r="M132" i="1"/>
  <c r="L132" i="1"/>
  <c r="K132" i="1"/>
  <c r="J132" i="1"/>
  <c r="I132" i="1"/>
  <c r="H132" i="1"/>
  <c r="N132" i="1" s="1"/>
  <c r="O132" i="1" s="1"/>
  <c r="M129" i="1"/>
  <c r="L129" i="1"/>
  <c r="K129" i="1"/>
  <c r="J129" i="1"/>
  <c r="I129" i="1"/>
  <c r="H129" i="1"/>
  <c r="N129" i="1" s="1"/>
  <c r="O129" i="1" s="1"/>
  <c r="M127" i="1"/>
  <c r="L127" i="1"/>
  <c r="K127" i="1"/>
  <c r="J127" i="1"/>
  <c r="I127" i="1"/>
  <c r="H127" i="1"/>
  <c r="N127" i="1" s="1"/>
  <c r="O127" i="1" s="1"/>
  <c r="M125" i="1"/>
  <c r="L125" i="1"/>
  <c r="K125" i="1"/>
  <c r="J125" i="1"/>
  <c r="I125" i="1"/>
  <c r="H125" i="1"/>
  <c r="N125" i="1" s="1"/>
  <c r="O125" i="1" s="1"/>
  <c r="M123" i="1"/>
  <c r="L123" i="1"/>
  <c r="K123" i="1"/>
  <c r="J123" i="1"/>
  <c r="I123" i="1"/>
  <c r="H123" i="1"/>
  <c r="N123" i="1" s="1"/>
  <c r="O123" i="1" s="1"/>
  <c r="M121" i="1"/>
  <c r="L121" i="1"/>
  <c r="K121" i="1"/>
  <c r="J121" i="1"/>
  <c r="I121" i="1"/>
  <c r="H121" i="1"/>
  <c r="N121" i="1" s="1"/>
  <c r="O121" i="1" s="1"/>
  <c r="M120" i="1"/>
  <c r="L120" i="1"/>
  <c r="K120" i="1"/>
  <c r="J120" i="1"/>
  <c r="I120" i="1"/>
  <c r="H120" i="1"/>
  <c r="N120" i="1" s="1"/>
  <c r="O120" i="1" s="1"/>
  <c r="M119" i="1"/>
  <c r="L119" i="1"/>
  <c r="K119" i="1"/>
  <c r="J119" i="1"/>
  <c r="I119" i="1"/>
  <c r="H119" i="1"/>
  <c r="N119" i="1" s="1"/>
  <c r="O119" i="1" s="1"/>
  <c r="M116" i="1"/>
  <c r="L116" i="1"/>
  <c r="K116" i="1"/>
  <c r="J116" i="1"/>
  <c r="I116" i="1"/>
  <c r="H116" i="1"/>
  <c r="N116" i="1" s="1"/>
  <c r="O116" i="1" s="1"/>
  <c r="M114" i="1"/>
  <c r="L114" i="1"/>
  <c r="K114" i="1"/>
  <c r="J114" i="1"/>
  <c r="I114" i="1"/>
  <c r="H114" i="1"/>
  <c r="N114" i="1" s="1"/>
  <c r="O114" i="1" s="1"/>
  <c r="M113" i="1"/>
  <c r="L113" i="1"/>
  <c r="K113" i="1"/>
  <c r="J113" i="1"/>
  <c r="I113" i="1"/>
  <c r="H113" i="1"/>
  <c r="N113" i="1" s="1"/>
  <c r="O113" i="1" s="1"/>
  <c r="M112" i="1"/>
  <c r="L112" i="1"/>
  <c r="K112" i="1"/>
  <c r="J112" i="1"/>
  <c r="I112" i="1"/>
  <c r="H112" i="1"/>
  <c r="N112" i="1" s="1"/>
  <c r="O112" i="1" s="1"/>
  <c r="M110" i="1"/>
  <c r="L110" i="1"/>
  <c r="K110" i="1"/>
  <c r="J110" i="1"/>
  <c r="I110" i="1"/>
  <c r="H110" i="1"/>
  <c r="N110" i="1" s="1"/>
  <c r="O110" i="1" s="1"/>
  <c r="M109" i="1"/>
  <c r="L109" i="1"/>
  <c r="K109" i="1"/>
  <c r="J109" i="1"/>
  <c r="I109" i="1"/>
  <c r="H109" i="1"/>
  <c r="N109" i="1" s="1"/>
  <c r="O109" i="1" s="1"/>
  <c r="M108" i="1"/>
  <c r="L108" i="1"/>
  <c r="K108" i="1"/>
  <c r="J108" i="1"/>
  <c r="I108" i="1"/>
  <c r="H108" i="1"/>
  <c r="N108" i="1" s="1"/>
  <c r="O108" i="1" s="1"/>
  <c r="M107" i="1"/>
  <c r="L107" i="1"/>
  <c r="K107" i="1"/>
  <c r="J107" i="1"/>
  <c r="I107" i="1"/>
  <c r="H107" i="1"/>
  <c r="N107" i="1" s="1"/>
  <c r="O107" i="1" s="1"/>
  <c r="M105" i="1"/>
  <c r="L105" i="1"/>
  <c r="K105" i="1"/>
  <c r="J105" i="1"/>
  <c r="I105" i="1"/>
  <c r="H105" i="1"/>
  <c r="N105" i="1" s="1"/>
  <c r="O105" i="1" s="1"/>
  <c r="M103" i="1"/>
  <c r="L103" i="1"/>
  <c r="K103" i="1"/>
  <c r="J103" i="1"/>
  <c r="I103" i="1"/>
  <c r="H103" i="1"/>
  <c r="N103" i="1" s="1"/>
  <c r="O103" i="1" s="1"/>
  <c r="M102" i="1"/>
  <c r="L102" i="1"/>
  <c r="K102" i="1"/>
  <c r="J102" i="1"/>
  <c r="I102" i="1"/>
  <c r="H102" i="1"/>
  <c r="N102" i="1" s="1"/>
  <c r="O102" i="1" s="1"/>
  <c r="M100" i="1"/>
  <c r="L100" i="1"/>
  <c r="K100" i="1"/>
  <c r="J100" i="1"/>
  <c r="I100" i="1"/>
  <c r="H100" i="1"/>
  <c r="N100" i="1" s="1"/>
  <c r="O100" i="1" s="1"/>
  <c r="M99" i="1"/>
  <c r="L99" i="1"/>
  <c r="K99" i="1"/>
  <c r="J99" i="1"/>
  <c r="I99" i="1"/>
  <c r="H99" i="1"/>
  <c r="N99" i="1" s="1"/>
  <c r="O99" i="1" s="1"/>
  <c r="M98" i="1"/>
  <c r="L98" i="1"/>
  <c r="K98" i="1"/>
  <c r="J98" i="1"/>
  <c r="I98" i="1"/>
  <c r="H98" i="1"/>
  <c r="N98" i="1" s="1"/>
  <c r="O98" i="1" s="1"/>
  <c r="M95" i="1"/>
  <c r="L95" i="1"/>
  <c r="K95" i="1"/>
  <c r="J95" i="1"/>
  <c r="I95" i="1"/>
  <c r="H95" i="1"/>
  <c r="N95" i="1" s="1"/>
  <c r="O95" i="1" s="1"/>
  <c r="M94" i="1"/>
  <c r="L94" i="1"/>
  <c r="K94" i="1"/>
  <c r="J94" i="1"/>
  <c r="I94" i="1"/>
  <c r="H94" i="1"/>
  <c r="N94" i="1" s="1"/>
  <c r="O94" i="1" s="1"/>
  <c r="M93" i="1"/>
  <c r="L93" i="1"/>
  <c r="K93" i="1"/>
  <c r="J93" i="1"/>
  <c r="I93" i="1"/>
  <c r="H93" i="1"/>
  <c r="N93" i="1" s="1"/>
  <c r="O93" i="1" s="1"/>
  <c r="M90" i="1"/>
  <c r="L90" i="1"/>
  <c r="K90" i="1"/>
  <c r="J90" i="1"/>
  <c r="I90" i="1"/>
  <c r="H90" i="1"/>
  <c r="N90" i="1" s="1"/>
  <c r="O90" i="1" s="1"/>
  <c r="M86" i="1"/>
  <c r="L86" i="1"/>
  <c r="K86" i="1"/>
  <c r="J86" i="1"/>
  <c r="I86" i="1"/>
  <c r="H86" i="1"/>
  <c r="N86" i="1" s="1"/>
  <c r="O86" i="1" s="1"/>
  <c r="M85" i="1"/>
  <c r="L85" i="1"/>
  <c r="K85" i="1"/>
  <c r="J85" i="1"/>
  <c r="I85" i="1"/>
  <c r="H85" i="1"/>
  <c r="N85" i="1" s="1"/>
  <c r="O85" i="1" s="1"/>
  <c r="M84" i="1"/>
  <c r="L84" i="1"/>
  <c r="K84" i="1"/>
  <c r="J84" i="1"/>
  <c r="I84" i="1"/>
  <c r="H84" i="1"/>
  <c r="N84" i="1" s="1"/>
  <c r="O84" i="1" s="1"/>
  <c r="M81" i="1"/>
  <c r="L81" i="1"/>
  <c r="K81" i="1"/>
  <c r="J81" i="1"/>
  <c r="I81" i="1"/>
  <c r="H81" i="1"/>
  <c r="N81" i="1" s="1"/>
  <c r="O81" i="1" s="1"/>
  <c r="M79" i="1"/>
  <c r="L79" i="1"/>
  <c r="K79" i="1"/>
  <c r="J79" i="1"/>
  <c r="I79" i="1"/>
  <c r="H79" i="1"/>
  <c r="N79" i="1" s="1"/>
  <c r="O79" i="1" s="1"/>
  <c r="M76" i="1"/>
  <c r="L76" i="1"/>
  <c r="K76" i="1"/>
  <c r="J76" i="1"/>
  <c r="I76" i="1"/>
  <c r="H76" i="1"/>
  <c r="N76" i="1" s="1"/>
  <c r="O76" i="1" s="1"/>
  <c r="M74" i="1"/>
  <c r="L74" i="1"/>
  <c r="K74" i="1"/>
  <c r="J74" i="1"/>
  <c r="I74" i="1"/>
  <c r="H74" i="1"/>
  <c r="N74" i="1" s="1"/>
  <c r="O74" i="1" s="1"/>
  <c r="M72" i="1"/>
  <c r="L72" i="1"/>
  <c r="K72" i="1"/>
  <c r="J72" i="1"/>
  <c r="I72" i="1"/>
  <c r="H72" i="1"/>
  <c r="N72" i="1" s="1"/>
  <c r="O72" i="1" s="1"/>
  <c r="M71" i="1"/>
  <c r="L71" i="1"/>
  <c r="K71" i="1"/>
  <c r="J71" i="1"/>
  <c r="I71" i="1"/>
  <c r="H71" i="1"/>
  <c r="N71" i="1" s="1"/>
  <c r="O71" i="1" s="1"/>
  <c r="M70" i="1"/>
  <c r="L70" i="1"/>
  <c r="K70" i="1"/>
  <c r="J70" i="1"/>
  <c r="I70" i="1"/>
  <c r="H70" i="1"/>
  <c r="N70" i="1" s="1"/>
  <c r="O70" i="1" s="1"/>
  <c r="M66" i="1"/>
  <c r="L66" i="1"/>
  <c r="K66" i="1"/>
  <c r="J66" i="1"/>
  <c r="I66" i="1"/>
  <c r="H66" i="1"/>
  <c r="N66" i="1" s="1"/>
  <c r="O66" i="1" s="1"/>
  <c r="M63" i="1"/>
  <c r="L63" i="1"/>
  <c r="K63" i="1"/>
  <c r="J63" i="1"/>
  <c r="I63" i="1"/>
  <c r="H63" i="1"/>
  <c r="N63" i="1" s="1"/>
  <c r="O63" i="1" s="1"/>
  <c r="M61" i="1"/>
  <c r="L61" i="1"/>
  <c r="K61" i="1"/>
  <c r="J61" i="1"/>
  <c r="I61" i="1"/>
  <c r="H61" i="1"/>
  <c r="N61" i="1" s="1"/>
  <c r="O61" i="1" s="1"/>
  <c r="M58" i="1"/>
  <c r="L58" i="1"/>
  <c r="K58" i="1"/>
  <c r="J58" i="1"/>
  <c r="I58" i="1"/>
  <c r="H58" i="1"/>
  <c r="N58" i="1" s="1"/>
  <c r="O58" i="1" s="1"/>
  <c r="M56" i="1"/>
  <c r="L56" i="1"/>
  <c r="K56" i="1"/>
  <c r="J56" i="1"/>
  <c r="I56" i="1"/>
  <c r="H56" i="1"/>
  <c r="N56" i="1" s="1"/>
  <c r="O56" i="1" s="1"/>
  <c r="M53" i="1"/>
  <c r="L53" i="1"/>
  <c r="K53" i="1"/>
  <c r="J53" i="1"/>
  <c r="I53" i="1"/>
  <c r="H53" i="1"/>
  <c r="N53" i="1" s="1"/>
  <c r="O53" i="1" s="1"/>
  <c r="M49" i="1"/>
  <c r="L49" i="1"/>
  <c r="K49" i="1"/>
  <c r="J49" i="1"/>
  <c r="I49" i="1"/>
  <c r="H49" i="1"/>
  <c r="N49" i="1" s="1"/>
  <c r="O49" i="1" s="1"/>
  <c r="M46" i="1"/>
  <c r="L46" i="1"/>
  <c r="K46" i="1"/>
  <c r="J46" i="1"/>
  <c r="I46" i="1"/>
  <c r="H46" i="1"/>
  <c r="N46" i="1" s="1"/>
  <c r="O46" i="1" s="1"/>
  <c r="M45" i="1"/>
  <c r="L45" i="1"/>
  <c r="K45" i="1"/>
  <c r="J45" i="1"/>
  <c r="I45" i="1"/>
  <c r="H45" i="1"/>
  <c r="N45" i="1" s="1"/>
  <c r="O45" i="1" s="1"/>
  <c r="M44" i="1"/>
  <c r="L44" i="1"/>
  <c r="K44" i="1"/>
  <c r="J44" i="1"/>
  <c r="I44" i="1"/>
  <c r="H44" i="1"/>
  <c r="N44" i="1" s="1"/>
  <c r="O44" i="1" s="1"/>
  <c r="M43" i="1"/>
  <c r="L43" i="1"/>
  <c r="K43" i="1"/>
  <c r="J43" i="1"/>
  <c r="I43" i="1"/>
  <c r="H43" i="1"/>
  <c r="N43" i="1" s="1"/>
  <c r="O43" i="1" s="1"/>
  <c r="M42" i="1"/>
  <c r="L42" i="1"/>
  <c r="K42" i="1"/>
  <c r="J42" i="1"/>
  <c r="I42" i="1"/>
  <c r="H42" i="1"/>
  <c r="N42" i="1" s="1"/>
  <c r="O42" i="1" s="1"/>
  <c r="M41" i="1"/>
  <c r="L41" i="1"/>
  <c r="K41" i="1"/>
  <c r="J41" i="1"/>
  <c r="I41" i="1"/>
  <c r="H41" i="1"/>
  <c r="N41" i="1" s="1"/>
  <c r="O41" i="1" s="1"/>
  <c r="M38" i="1"/>
  <c r="L38" i="1"/>
  <c r="K38" i="1"/>
  <c r="J38" i="1"/>
  <c r="I38" i="1"/>
  <c r="H38" i="1"/>
  <c r="N38" i="1" s="1"/>
  <c r="O38" i="1" s="1"/>
  <c r="M36" i="1"/>
  <c r="L36" i="1"/>
  <c r="K36" i="1"/>
  <c r="J36" i="1"/>
  <c r="I36" i="1"/>
  <c r="H36" i="1"/>
  <c r="N36" i="1" s="1"/>
  <c r="O36" i="1" s="1"/>
  <c r="M34" i="1"/>
  <c r="L34" i="1"/>
  <c r="K34" i="1"/>
  <c r="J34" i="1"/>
  <c r="I34" i="1"/>
  <c r="H34" i="1"/>
  <c r="N34" i="1" s="1"/>
  <c r="O34" i="1" s="1"/>
  <c r="M30" i="1"/>
  <c r="L30" i="1"/>
  <c r="K30" i="1"/>
  <c r="J30" i="1"/>
  <c r="I30" i="1"/>
  <c r="H30" i="1"/>
  <c r="N30" i="1" s="1"/>
  <c r="O30" i="1" s="1"/>
  <c r="M28" i="1"/>
  <c r="L28" i="1"/>
  <c r="K28" i="1"/>
  <c r="J28" i="1"/>
  <c r="I28" i="1"/>
  <c r="H28" i="1"/>
  <c r="N28" i="1" s="1"/>
  <c r="O28" i="1" s="1"/>
  <c r="M27" i="1"/>
  <c r="L27" i="1"/>
  <c r="K27" i="1"/>
  <c r="J27" i="1"/>
  <c r="I27" i="1"/>
  <c r="H27" i="1"/>
  <c r="N27" i="1" s="1"/>
  <c r="O27" i="1" s="1"/>
  <c r="M26" i="1"/>
  <c r="L26" i="1"/>
  <c r="K26" i="1"/>
  <c r="J26" i="1"/>
  <c r="I26" i="1"/>
  <c r="H26" i="1"/>
  <c r="N26" i="1" s="1"/>
  <c r="O26" i="1" s="1"/>
  <c r="M25" i="1"/>
  <c r="L25" i="1"/>
  <c r="K25" i="1"/>
  <c r="J25" i="1"/>
  <c r="I25" i="1"/>
  <c r="H25" i="1"/>
  <c r="N25" i="1" s="1"/>
  <c r="O25" i="1" s="1"/>
  <c r="M23" i="1"/>
  <c r="L23" i="1"/>
  <c r="K23" i="1"/>
  <c r="J23" i="1"/>
  <c r="I23" i="1"/>
  <c r="H23" i="1"/>
  <c r="N23" i="1" s="1"/>
  <c r="O23" i="1" s="1"/>
  <c r="M20" i="1"/>
  <c r="L20" i="1"/>
  <c r="K20" i="1"/>
  <c r="J20" i="1"/>
  <c r="I20" i="1"/>
  <c r="H20" i="1"/>
  <c r="N20" i="1" s="1"/>
  <c r="O20" i="1" s="1"/>
  <c r="M19" i="1"/>
  <c r="L19" i="1"/>
  <c r="K19" i="1"/>
  <c r="J19" i="1"/>
  <c r="I19" i="1"/>
  <c r="H19" i="1"/>
  <c r="N19" i="1" s="1"/>
  <c r="O19" i="1" s="1"/>
  <c r="M15" i="1"/>
  <c r="L15" i="1"/>
  <c r="K15" i="1"/>
  <c r="J15" i="1"/>
  <c r="I15" i="1"/>
  <c r="H15" i="1"/>
  <c r="N15" i="1" s="1"/>
  <c r="O15" i="1" s="1"/>
  <c r="M14" i="1"/>
  <c r="L14" i="1"/>
  <c r="K14" i="1"/>
  <c r="J14" i="1"/>
  <c r="I14" i="1"/>
  <c r="H14" i="1"/>
  <c r="N14" i="1" s="1"/>
  <c r="O14" i="1" s="1"/>
  <c r="M13" i="1"/>
  <c r="L13" i="1"/>
  <c r="K13" i="1"/>
  <c r="J13" i="1"/>
  <c r="I13" i="1"/>
  <c r="H13" i="1"/>
  <c r="N13" i="1" s="1"/>
  <c r="O13" i="1" s="1"/>
  <c r="M12" i="1"/>
  <c r="L12" i="1"/>
  <c r="K12" i="1"/>
  <c r="J12" i="1"/>
  <c r="I12" i="1"/>
  <c r="H12" i="1"/>
  <c r="N12" i="1" s="1"/>
  <c r="O12" i="1" s="1"/>
  <c r="M11" i="1"/>
  <c r="L11" i="1"/>
  <c r="K11" i="1"/>
  <c r="J11" i="1"/>
  <c r="I11" i="1"/>
  <c r="H11" i="1"/>
  <c r="N11" i="1" s="1"/>
  <c r="O11" i="1" s="1"/>
  <c r="M10" i="1"/>
  <c r="L10" i="1"/>
  <c r="K10" i="1"/>
  <c r="J10" i="1"/>
  <c r="I10" i="1"/>
  <c r="H10" i="1"/>
  <c r="N10" i="1" s="1"/>
  <c r="O10" i="1" s="1"/>
  <c r="M8" i="1"/>
  <c r="L8" i="1"/>
  <c r="K8" i="1"/>
  <c r="J8" i="1"/>
  <c r="I8" i="1"/>
  <c r="H8" i="1"/>
  <c r="N8" i="1" s="1"/>
  <c r="O8" i="1" s="1"/>
  <c r="M6" i="1"/>
  <c r="M205" i="1" s="1"/>
  <c r="L6" i="1"/>
  <c r="L205" i="1" s="1"/>
  <c r="K6" i="1"/>
  <c r="K205" i="1" s="1"/>
  <c r="J6" i="1"/>
  <c r="J205" i="1" s="1"/>
  <c r="I6" i="1"/>
  <c r="I205" i="1" s="1"/>
  <c r="H6" i="1"/>
  <c r="N6" i="1" s="1"/>
  <c r="N205" i="1" l="1"/>
  <c r="O6" i="1"/>
  <c r="O205" i="1" s="1"/>
  <c r="H205" i="1"/>
</calcChain>
</file>

<file path=xl/sharedStrings.xml><?xml version="1.0" encoding="utf-8"?>
<sst xmlns="http://schemas.openxmlformats.org/spreadsheetml/2006/main" count="534" uniqueCount="499">
  <si>
    <t/>
  </si>
  <si>
    <t>№ ПП</t>
  </si>
  <si>
    <t>КОД</t>
  </si>
  <si>
    <t>НАЗВАНИЕ РАБОТЫ</t>
  </si>
  <si>
    <t>ИЗМЕРИТЕЛЬ</t>
  </si>
  <si>
    <t>КОЛ-ВО ЕД. ИЗМ.</t>
  </si>
  <si>
    <t>ПЕРИОДИЧ- НОСТЬ В ГОД</t>
  </si>
  <si>
    <t>ТРУД. РЕСУРСЫ, РУБ.</t>
  </si>
  <si>
    <t>МАТЕР. РЕСУРСЫ, РУБ.</t>
  </si>
  <si>
    <t>МАШ. МЕХ., РУБ.</t>
  </si>
  <si>
    <t>НАКЛ. РАСХОДЫ, РУБ.</t>
  </si>
  <si>
    <t>ПРИБЫЛЬ, РУБ.</t>
  </si>
  <si>
    <t>РАСХОДЫ НА УПРАВ., РУБ.</t>
  </si>
  <si>
    <t>СТОИМОСТЬ, РУБ.</t>
  </si>
  <si>
    <t>НА КВ.М/МЕС</t>
  </si>
  <si>
    <t>1.12. МКД коридорного типа с газоснабжением, с уборкой мест общего пользования и придомовой территории ООО Квартал 2026</t>
  </si>
  <si>
    <t>Дата изменения:</t>
  </si>
  <si>
    <t>09.12.2025</t>
  </si>
  <si>
    <t>Общая площадь, кв.м:</t>
  </si>
  <si>
    <t>1.1</t>
  </si>
  <si>
    <t>Фундаменты</t>
  </si>
  <si>
    <t>1.1.2</t>
  </si>
  <si>
    <t>Осушение фундаментов</t>
  </si>
  <si>
    <t>1.1.2.3</t>
  </si>
  <si>
    <t>Осушение электрическими насосами</t>
  </si>
  <si>
    <t>100 м3 воды</t>
  </si>
  <si>
    <t>1.1.3</t>
  </si>
  <si>
    <t>Устранение замачивания грунта под фундаментом</t>
  </si>
  <si>
    <t>1.1.3.1</t>
  </si>
  <si>
    <t>Замена поврежденного участка трубопровода диаметром до 100 мм</t>
  </si>
  <si>
    <t>1 участок (6 м)</t>
  </si>
  <si>
    <t>1.1.7</t>
  </si>
  <si>
    <t>Восстановление (ремонт)  освещения и  вентиляции  подвала</t>
  </si>
  <si>
    <t>1.1.7.2</t>
  </si>
  <si>
    <t>Замена неисправных участков сети электрической сети (открытая проводка) при числе и сечении жил в проводе 2х1,5 и 2х2,5 кв.м</t>
  </si>
  <si>
    <t>100 пог.м</t>
  </si>
  <si>
    <t>1.1.7.3</t>
  </si>
  <si>
    <t>Замена ламп накаливания</t>
  </si>
  <si>
    <t>100 шт.</t>
  </si>
  <si>
    <t>1.1.7.4</t>
  </si>
  <si>
    <t>Замена выключателей</t>
  </si>
  <si>
    <t>1.1.7.5</t>
  </si>
  <si>
    <t>Замена патронов</t>
  </si>
  <si>
    <t>1.1.10</t>
  </si>
  <si>
    <t>Восстановление (ремонт) отмостки</t>
  </si>
  <si>
    <t>100 м2 отмостки</t>
  </si>
  <si>
    <t>1.1.12</t>
  </si>
  <si>
    <t>Восстановление (ремонт) вводов инженерных коммуникаций   в подвальные  помещения  через  фундаменты</t>
  </si>
  <si>
    <t>1.2</t>
  </si>
  <si>
    <t>Кирпичные, каменные и железобетонные стены</t>
  </si>
  <si>
    <t>1.2.11</t>
  </si>
  <si>
    <t>Герметизация, теплоизоляция межпанельных и иных швов</t>
  </si>
  <si>
    <t>1.2.11.1</t>
  </si>
  <si>
    <t>Заделка и герметизация швов и стыков</t>
  </si>
  <si>
    <t>1.2.11.1.1</t>
  </si>
  <si>
    <t>Заделка и герметизация швов и стыков в стенах крупноблочных и крупнопанельных домов</t>
  </si>
  <si>
    <t>на 10 м шва (стыка)</t>
  </si>
  <si>
    <t>1.2.11.1.2</t>
  </si>
  <si>
    <t>Заделка и герметизация швов и стыков в местах примыкания балконных плит к стенам</t>
  </si>
  <si>
    <t>1.2.17</t>
  </si>
  <si>
    <t>Окраска стен  помещений  общего  пользования</t>
  </si>
  <si>
    <t>1.2.17.4</t>
  </si>
  <si>
    <t>Окрашивание поверхностей стен водоэмульсионными составами</t>
  </si>
  <si>
    <t>1.2.17.4.3</t>
  </si>
  <si>
    <t>Окрашивание водоэмульсионными составами поверхностей стен, ранее окрашенных водоэмульсионной краской с расчисткой старой краски более 35%</t>
  </si>
  <si>
    <t>100 м2 окрашиваемой поверхности</t>
  </si>
  <si>
    <t>1.2.18</t>
  </si>
  <si>
    <t>Внутренняя отделка зданий</t>
  </si>
  <si>
    <t>1.2.18.1</t>
  </si>
  <si>
    <t>Ремонт внутренней штукатурки потолков отдельными местами</t>
  </si>
  <si>
    <t>100 кв. м</t>
  </si>
  <si>
    <t>1.2.18.3</t>
  </si>
  <si>
    <t>Перетирка штукатурки поверхности потолков</t>
  </si>
  <si>
    <t>100 кв.м</t>
  </si>
  <si>
    <t>1.2.18.9</t>
  </si>
  <si>
    <t>Окрашивание водоэмульсионными составами поверхностей потолков, ранее окрашенных известковой или клеевой краской с расчисткой старой краски более 35%</t>
  </si>
  <si>
    <t>1.2.18.12</t>
  </si>
  <si>
    <t>Перетирка штукатурки поверхностей стен и перегородок</t>
  </si>
  <si>
    <t>100 м2 поверхности</t>
  </si>
  <si>
    <t>1.5</t>
  </si>
  <si>
    <t>Перекрытия</t>
  </si>
  <si>
    <t>1.5.10</t>
  </si>
  <si>
    <t>Заделка  неплотностей вокруг  трубопроводов  отопления и   горячего  водоснабжения, проходящих через  перекрытия</t>
  </si>
  <si>
    <t>100 отверстий</t>
  </si>
  <si>
    <t>1.8</t>
  </si>
  <si>
    <t>Крыши и кровли</t>
  </si>
  <si>
    <t>1.8.1</t>
  </si>
  <si>
    <t>Устранение протечек кровли</t>
  </si>
  <si>
    <t>1.8.1.3</t>
  </si>
  <si>
    <t>Устранение  протечек рулонной кровли</t>
  </si>
  <si>
    <t>1.8.1.3.1</t>
  </si>
  <si>
    <t>Постановка заплат на покрытия из мягкой кровли</t>
  </si>
  <si>
    <t>100 м2 покрытий</t>
  </si>
  <si>
    <t>1.8.9</t>
  </si>
  <si>
    <t>Восстановление (ремонт) выходов на крышу</t>
  </si>
  <si>
    <t>1.8.9.1</t>
  </si>
  <si>
    <t>Окраска масляными составами ранее окрашенных металлических лестниц и дверей на крышу за 1 раз</t>
  </si>
  <si>
    <t>100 м2 окрашенной поверхности</t>
  </si>
  <si>
    <t>1.8.10</t>
  </si>
  <si>
    <t>Восстановление (ремонт) парапетов, архитектурных деталей и т.д.</t>
  </si>
  <si>
    <t>1.8.10.4</t>
  </si>
  <si>
    <t>Ремонт металлических парапетных решеток</t>
  </si>
  <si>
    <t>100 м решетки</t>
  </si>
  <si>
    <t>1.9</t>
  </si>
  <si>
    <t>Оконные и дверные проемы</t>
  </si>
  <si>
    <t>1.9.1</t>
  </si>
  <si>
    <t>Восстановление (ремонт) дверей в помещениях  общего  пользования</t>
  </si>
  <si>
    <t>1.9.1.2</t>
  </si>
  <si>
    <t>Ремонт дверных полотен со сменой вертикальных брусков обвязки на два сопряжения</t>
  </si>
  <si>
    <t>100 брусков</t>
  </si>
  <si>
    <t>1.9.1.10</t>
  </si>
  <si>
    <t>Смена дверных петель при одной сменяемой петле в полотне</t>
  </si>
  <si>
    <t>10 петель</t>
  </si>
  <si>
    <t>1.9.1.15</t>
  </si>
  <si>
    <t>Укрепление наличников дверных проемов</t>
  </si>
  <si>
    <t>1 п.м. наличника</t>
  </si>
  <si>
    <t>1.9.1.16</t>
  </si>
  <si>
    <t>Смена пружины</t>
  </si>
  <si>
    <t>1 пружина</t>
  </si>
  <si>
    <t>1.9.1.17</t>
  </si>
  <si>
    <t>Смена ручки дверной</t>
  </si>
  <si>
    <t>1 ручка</t>
  </si>
  <si>
    <t>1.9.1.23</t>
  </si>
  <si>
    <t>Улучшенная масляная окраска дверей</t>
  </si>
  <si>
    <t>100 кв.м.</t>
  </si>
  <si>
    <t>1.10</t>
  </si>
  <si>
    <t>Лестницы</t>
  </si>
  <si>
    <t>1.10.5</t>
  </si>
  <si>
    <t>Окраска  металлических  элементов  лестниц</t>
  </si>
  <si>
    <t>1.10.5.2</t>
  </si>
  <si>
    <t>Окраска масляными составами ранее окрашенных металлических решеток без рельефа за 2 раза</t>
  </si>
  <si>
    <t xml:space="preserve"> 100 м2 окрашиваемой поверхности</t>
  </si>
  <si>
    <t>2.1</t>
  </si>
  <si>
    <t>Система теплоснабжения</t>
  </si>
  <si>
    <t>2.1.2</t>
  </si>
  <si>
    <t>Ремонт,  модернизация внутридомовых отопительных сетей</t>
  </si>
  <si>
    <t>2.1.2.1</t>
  </si>
  <si>
    <t>Смена отдельных участков трубопроводов из стальных водогазопроводных неоцинкованных труб на резьбе</t>
  </si>
  <si>
    <t>2.1.2.1.3</t>
  </si>
  <si>
    <t>Смена отдельных участков трубопроводов из стальных водогазопроводных неоцинкованных труб диаметром 25 мм</t>
  </si>
  <si>
    <t>100 м трубопровода</t>
  </si>
  <si>
    <t>2.1.3</t>
  </si>
  <si>
    <t>Ремонт,  промывка  отопительных  элементов</t>
  </si>
  <si>
    <t>2.1.3.5</t>
  </si>
  <si>
    <t>Прочистка и промывка отопительных приборов</t>
  </si>
  <si>
    <t>2.1.3.5.1</t>
  </si>
  <si>
    <t>Прочистка и промывка отопительных приборов радиаторов весом до 80 кг внутри здания</t>
  </si>
  <si>
    <t>100 приборов</t>
  </si>
  <si>
    <t>2.1.6</t>
  </si>
  <si>
    <t>Ремонт или  замена  неисправных  приборов  учета и  регулирования</t>
  </si>
  <si>
    <t>2.1.6.2</t>
  </si>
  <si>
    <t>Замена прибора учета</t>
  </si>
  <si>
    <t>прибор</t>
  </si>
  <si>
    <t>2.1.8</t>
  </si>
  <si>
    <t>Ремонт  насосов,  магистральной запорной арматуры,  автоматических устройств</t>
  </si>
  <si>
    <t>2.1.8.7</t>
  </si>
  <si>
    <t>Смена пробковых кранов</t>
  </si>
  <si>
    <t>2.1.8.7.2</t>
  </si>
  <si>
    <t>Смена пробковых кранов диаметром 26 мм</t>
  </si>
  <si>
    <t>100 кранов</t>
  </si>
  <si>
    <t>2.1.8.9</t>
  </si>
  <si>
    <t>Установка кранов для спуска воздуха из системы</t>
  </si>
  <si>
    <t>2.1.8.9.1</t>
  </si>
  <si>
    <t>Установка кранов для спуска воздуха из системы, диаметр крана 15-20 мм</t>
  </si>
  <si>
    <t>2.1.9</t>
  </si>
  <si>
    <t>Модернизация системы отопления и горячего водоснабжения</t>
  </si>
  <si>
    <t>2.1.9.4</t>
  </si>
  <si>
    <t>Установка запорных вентилей на радиаторах</t>
  </si>
  <si>
    <t>2.1.9.4.2</t>
  </si>
  <si>
    <t>Установка запорных вентилей на радиаторах, диаметром 20 мм</t>
  </si>
  <si>
    <t>1 прибор</t>
  </si>
  <si>
    <t>2.2</t>
  </si>
  <si>
    <t>Системы холодного и горячего водоснабжения</t>
  </si>
  <si>
    <t>2.2.2</t>
  </si>
  <si>
    <t>Ремонт, замена, проверка приборов учета воды</t>
  </si>
  <si>
    <t>2.2.2.1</t>
  </si>
  <si>
    <t>Ремонт приборов учета воды</t>
  </si>
  <si>
    <t>2.2.2.1.6</t>
  </si>
  <si>
    <t>Обслуживание преобразователя давления</t>
  </si>
  <si>
    <t>1  преобразователь давления</t>
  </si>
  <si>
    <t>2.2.2.1.7</t>
  </si>
  <si>
    <t>Обслуживание термопреобразователя</t>
  </si>
  <si>
    <t>1  термопреобразователь</t>
  </si>
  <si>
    <t>2.2.2.1.9</t>
  </si>
  <si>
    <t>Обслуживание преобразователя расхода от 50 до  100 мм</t>
  </si>
  <si>
    <t>1 преобразователь расхода</t>
  </si>
  <si>
    <t>2.2.2.2</t>
  </si>
  <si>
    <t>Замена прибора учета воды</t>
  </si>
  <si>
    <t>2.2.2.2.2</t>
  </si>
  <si>
    <t>Замена прибора учета воды без фильтра</t>
  </si>
  <si>
    <t>Счетчик воды</t>
  </si>
  <si>
    <t>2.2.6</t>
  </si>
  <si>
    <t>Ремонт оборудования, приборов и арматуры водопроводной сети общего пользования</t>
  </si>
  <si>
    <t>2.2.6.5</t>
  </si>
  <si>
    <t>Смена задвижек диаметром до 100 мм</t>
  </si>
  <si>
    <t>2.3</t>
  </si>
  <si>
    <t>Система водоотведения</t>
  </si>
  <si>
    <t>2.3.1</t>
  </si>
  <si>
    <t>Смена отдельных участков трубопроводов канализации из полиэтиленовых труб высокой плотности</t>
  </si>
  <si>
    <t>2.3.1.2</t>
  </si>
  <si>
    <t>Смена горизонтальных участков трубопроводов канализации из полиэтиленовых труб высокой плотности диаметром 100 мм</t>
  </si>
  <si>
    <t>100 м трубопроводов</t>
  </si>
  <si>
    <t>2.3.2</t>
  </si>
  <si>
    <t>Смена отдельных участков внутренних чугунных канализационных труб и выпусков</t>
  </si>
  <si>
    <t>2.3.2.2</t>
  </si>
  <si>
    <t>Смена отдельных участков чугунных труб и  внутренних чугунных канализационных выпусков при диаметре канализационного выпуска 100 мм</t>
  </si>
  <si>
    <t>2.3.3</t>
  </si>
  <si>
    <t>Подчеканка раструбов канализационных труб</t>
  </si>
  <si>
    <t>2.3.3.3</t>
  </si>
  <si>
    <t>Подчеканка раструбов чугунных канализационных труб</t>
  </si>
  <si>
    <t>2.3.3.3.3</t>
  </si>
  <si>
    <t>Подчеканка раструбов  чугунных  канализационных труб диаметром до 100 мм</t>
  </si>
  <si>
    <t>100  раструбов</t>
  </si>
  <si>
    <t>2.3.4</t>
  </si>
  <si>
    <t>Устранение засоров внутренних канализационных трубопроводов</t>
  </si>
  <si>
    <t>100 м трубы</t>
  </si>
  <si>
    <t>2.3.5</t>
  </si>
  <si>
    <t>Заделка стыков соединений стояков внутренних водостоков</t>
  </si>
  <si>
    <t>100 соединений</t>
  </si>
  <si>
    <t>2.4</t>
  </si>
  <si>
    <t>Система газоснабжения</t>
  </si>
  <si>
    <t>2.4.1</t>
  </si>
  <si>
    <t>Ремонт внутридомовых сетей  газоснабжения</t>
  </si>
  <si>
    <t>2.4.1.1</t>
  </si>
  <si>
    <t>Техническое обслуживание внутридомовых газопроводов</t>
  </si>
  <si>
    <t>2.4.1.1.2</t>
  </si>
  <si>
    <t>Техническое обслуживание внутридомовых газопроводов диаметром 25-50 мм</t>
  </si>
  <si>
    <t>100 пог. м.</t>
  </si>
  <si>
    <t>2.4.2</t>
  </si>
  <si>
    <t>Содержание и ремонт внутридомового и (или) внутриквартирного газового оборудования</t>
  </si>
  <si>
    <t>2.4.2.9</t>
  </si>
  <si>
    <t>Техническое обслуживание внутридомового газового оборудования многоквартирных домов</t>
  </si>
  <si>
    <t>2.4.2.9.1</t>
  </si>
  <si>
    <t>Проверка герметичности внутридомового газопровода и технологических устройств на нем при количестве приборов на одном стояке до 5 шт.</t>
  </si>
  <si>
    <t>стояк</t>
  </si>
  <si>
    <t>2.4.2.9.2</t>
  </si>
  <si>
    <t>Проверка герметичности внутридомового газопровода и технологических устройств на нем при количестве приборов на одном стояке 6-10 шт.</t>
  </si>
  <si>
    <t>2.4.2.9.5</t>
  </si>
  <si>
    <t>Проверка на герметичность фланцевых, резьбовых соединений и сварных стыков на газопроводе в подъезде здания при диаметре до 32 мм</t>
  </si>
  <si>
    <t>10 шт.</t>
  </si>
  <si>
    <t>2.5</t>
  </si>
  <si>
    <t>Внутридомовое электро-, радио- и телеоборудование</t>
  </si>
  <si>
    <t>2.5.1</t>
  </si>
  <si>
    <t>Ремонт,  замена  шкафов  вводных и  вводно-распределительных устройств</t>
  </si>
  <si>
    <t>2.5.1.2</t>
  </si>
  <si>
    <t>Замена автоматического выключателя</t>
  </si>
  <si>
    <t>1 автоматический выключатель</t>
  </si>
  <si>
    <t>2.5.1.4</t>
  </si>
  <si>
    <t>Замена предохранителя</t>
  </si>
  <si>
    <t>1 предохранитель</t>
  </si>
  <si>
    <t>2.5.4</t>
  </si>
  <si>
    <t>Ремонт, замена  внутридомовых электрических сетей</t>
  </si>
  <si>
    <t>1000 пог.м.</t>
  </si>
  <si>
    <t>2.5.7</t>
  </si>
  <si>
    <t>Ремонт,  замена  осветительных установок  помещений   общего  пользования</t>
  </si>
  <si>
    <t>2.5.7.1</t>
  </si>
  <si>
    <t>Замена выключателя</t>
  </si>
  <si>
    <t>1 выключатель</t>
  </si>
  <si>
    <t>2.5.7.2</t>
  </si>
  <si>
    <t>Замена светильника с лампами накаливания или энергосберегающими лампами</t>
  </si>
  <si>
    <t>1 светильник</t>
  </si>
  <si>
    <t>2.6</t>
  </si>
  <si>
    <t>Подготовка многоквартирного дома к сезонной эксплуатации, проведение технических осмотров</t>
  </si>
  <si>
    <t>2.6.5</t>
  </si>
  <si>
    <t>Утепление и прочистка дымовентиляционных каналов</t>
  </si>
  <si>
    <t>1000 кв.м. общей площади</t>
  </si>
  <si>
    <t>2.6.8</t>
  </si>
  <si>
    <t>Проведение технических осмотров и мелкий ремонт стен, полов, перекрытий</t>
  </si>
  <si>
    <t>2.6.8.1</t>
  </si>
  <si>
    <t>Осмотр территории вокруг здания и фундамента</t>
  </si>
  <si>
    <t>2.6.8.2</t>
  </si>
  <si>
    <t>Осмотр кирпичных и железобетонных стен, фасадов</t>
  </si>
  <si>
    <t>2.6.8.6</t>
  </si>
  <si>
    <t>Осмотр железобетонных перекрытий</t>
  </si>
  <si>
    <t>2.6.8.8</t>
  </si>
  <si>
    <t>Осмотр внутренней отделки стен</t>
  </si>
  <si>
    <t>2.6.11</t>
  </si>
  <si>
    <t>Проведение технических осмотров и устранение незначительных неисправностей в  системах водоснабжения и  водоотведения</t>
  </si>
  <si>
    <t>2.6.11.1</t>
  </si>
  <si>
    <t>Осмотр водопровода, канализации и горячего водоснабжения</t>
  </si>
  <si>
    <t>100 квартир</t>
  </si>
  <si>
    <t>2.6.11.3</t>
  </si>
  <si>
    <t>Прочистка канализационного лежака</t>
  </si>
  <si>
    <t>100 м канализационного лежака</t>
  </si>
  <si>
    <t>2.6.11.4</t>
  </si>
  <si>
    <t>Проверка исправности  канализационных  вытяжек</t>
  </si>
  <si>
    <t>2.6.12</t>
  </si>
  <si>
    <t>Проведение технических осмотров и устранение незначительных неисправностей в  системах вентиляции</t>
  </si>
  <si>
    <t>2.6.12.1</t>
  </si>
  <si>
    <t>Проверка наличия тяги в  дымовентиляционных каналах</t>
  </si>
  <si>
    <t>2.6.14</t>
  </si>
  <si>
    <t>Проведение технических осмотров и устранение незначительных неисправностей в  системе   теплоснабжения</t>
  </si>
  <si>
    <t>2.6.14.1</t>
  </si>
  <si>
    <t>Осмотр системы центрального отопления</t>
  </si>
  <si>
    <t>2.6.14.1.1</t>
  </si>
  <si>
    <t>Осмотр внутриквартирных устройств системы центрального отопления</t>
  </si>
  <si>
    <t>2.6.14.1.2</t>
  </si>
  <si>
    <t>Осмотр устройства системы центрального отопления в чердачных и подвальных помещениях</t>
  </si>
  <si>
    <t>1000 м2 осматриваемых помещений</t>
  </si>
  <si>
    <t>2.6.14.2</t>
  </si>
  <si>
    <t>Регулировка и наладка систем отопления</t>
  </si>
  <si>
    <t>1 здание</t>
  </si>
  <si>
    <t>2.6.14.3</t>
  </si>
  <si>
    <t>Гидравлическое испытание трубопроводов систем центрального отопления (расконсервация)</t>
  </si>
  <si>
    <t>2.6.14.3.5</t>
  </si>
  <si>
    <t>Рабочая проверка системы в целом при диаметре трубопровода до 100 мм</t>
  </si>
  <si>
    <t>2.6.14.4</t>
  </si>
  <si>
    <t>Промывка трубопроводов системы центрального отопления</t>
  </si>
  <si>
    <t>2.6.14.4.2</t>
  </si>
  <si>
    <t>Промывка трубопроводов системы центрального отопления до 100 мм</t>
  </si>
  <si>
    <t>10 м трубопровода (100 м3 здания)</t>
  </si>
  <si>
    <t>2.6.14.5</t>
  </si>
  <si>
    <t>Устранение незначительных неисправностей в  системе   теплоснабжения</t>
  </si>
  <si>
    <t>2.6.14.5.3</t>
  </si>
  <si>
    <t>Вывертывание и ввертывание радиаторной пробки</t>
  </si>
  <si>
    <t>100 пробок</t>
  </si>
  <si>
    <t>2.6.14.5.5</t>
  </si>
  <si>
    <t>Ликвидация воздушных пробок в системе отопления</t>
  </si>
  <si>
    <t>2.6.14.5.5.1</t>
  </si>
  <si>
    <t>Ликвидация воздушных пробок в стояке системы отопления</t>
  </si>
  <si>
    <t>100 стояков</t>
  </si>
  <si>
    <t>2.6.15</t>
  </si>
  <si>
    <t>Проверка и ремонт коллективных приборов  учета</t>
  </si>
  <si>
    <t>2.6.15.2</t>
  </si>
  <si>
    <t>Проверка и обслуживание коллективных приборов учета воды диаметром 50-250 мм</t>
  </si>
  <si>
    <t>2.6.15.2.1</t>
  </si>
  <si>
    <t>Визуальный осмотр прибора учета воды диаметром 50-250 мм и проверка наличия и нарушения пломб</t>
  </si>
  <si>
    <t>1 прибор учета</t>
  </si>
  <si>
    <t>2.6.15.2.2</t>
  </si>
  <si>
    <t>Снятие и запись показаний с приборов учета воды диаметром 50-250 мм</t>
  </si>
  <si>
    <t>2.6.15.2.4</t>
  </si>
  <si>
    <t>Проверка работоспособности запорной арматуры и очистка фильтров приборов учета воды диаметром 50-250 мм</t>
  </si>
  <si>
    <t>1 фильтр</t>
  </si>
  <si>
    <t>2.6.15.3</t>
  </si>
  <si>
    <t>Проверка и обслуживание коллективных узлов учета тепловой энергии диаметром 25-40 мм</t>
  </si>
  <si>
    <t>2.6.15.3.7</t>
  </si>
  <si>
    <t>При отказе или неисправной работе теплосчетчика - поиск неисправностей (узел учета тепловой энергии диаметром 25-40 мм)</t>
  </si>
  <si>
    <t>1 узел учета</t>
  </si>
  <si>
    <t>2.6.15.4</t>
  </si>
  <si>
    <t>Проверка и обслуживание коллективных узлов учета тепловой энергии диаметром 50-250 мм</t>
  </si>
  <si>
    <t>2.6.15.4.8</t>
  </si>
  <si>
    <t>Выборочная метрологическая поверка теплосчетчиков</t>
  </si>
  <si>
    <t>2.6.15.4.8.3</t>
  </si>
  <si>
    <t>Поверка (настройка) тепловычислителя (выборочная метрологическая поверка теплосчетчиков диаметром 50-250 мм)</t>
  </si>
  <si>
    <t>2.6.15.4.8.5</t>
  </si>
  <si>
    <t>Обсчет данных, оформление справок, распечатка архивов данных (выборочная метрологическая поверка теплосчетчиков диаметром 50-250 мм)</t>
  </si>
  <si>
    <t>2.6.15.5</t>
  </si>
  <si>
    <t>Установка и снятие (монтаж, демонтаж) прибора учета тепловой энергии</t>
  </si>
  <si>
    <t>2.6.15.5.3</t>
  </si>
  <si>
    <t>Снятие (демонтаж) прибора учета тепловой энергии, диаметром от 50 до 100 мм</t>
  </si>
  <si>
    <t>2.6.15.5.4</t>
  </si>
  <si>
    <t>Установка (монтаж) прибора учета тепловой энергии, диаметром от 50 до 100 мм</t>
  </si>
  <si>
    <t>2.7</t>
  </si>
  <si>
    <t>Устранение аварии и выполнение заявок населения</t>
  </si>
  <si>
    <t>2.7.3</t>
  </si>
  <si>
    <t>Устранение аварии на внутридомовых инженерных сетях при сроке эксплуатации многоквартирного дома от 31 до 50 лет</t>
  </si>
  <si>
    <t>1000 м2  общей площади жилых помещений (в год для одной смены)</t>
  </si>
  <si>
    <t>3.1</t>
  </si>
  <si>
    <t>Работы по санитарному содержанию помещений общего пользования, системы мусороудаления и фасадов</t>
  </si>
  <si>
    <t>3.1.1</t>
  </si>
  <si>
    <t>Подметание и мытье полов во всех помещениях  общего пользования, кабинах лифта и их влажная уборка</t>
  </si>
  <si>
    <t>3.1.1.1</t>
  </si>
  <si>
    <t>Подметание и влажная уборка полов во всех помещениях  общего пользования в многоквартирном доме без лифтов и мусоропровода</t>
  </si>
  <si>
    <t>3.1.1.1.1</t>
  </si>
  <si>
    <t>Подметание лестничных площадок и маршей</t>
  </si>
  <si>
    <t>3.1.1.1.1.1</t>
  </si>
  <si>
    <t>Подметание лестничных площадок и маршей нижних трех этажей с предварительным их увлажнением (в доме без лифтов и мусоропровода)</t>
  </si>
  <si>
    <t>100 м2 убираемой  площади</t>
  </si>
  <si>
    <t>3.1.1.1.1.2</t>
  </si>
  <si>
    <t>Подметание лестничных площадок и маршей выше третьего этажа с предварительным их увлажнением (в доме без лифтов и мусоропровода)</t>
  </si>
  <si>
    <t>100 м2  убираемой  площади</t>
  </si>
  <si>
    <t>3.1.1.1.2</t>
  </si>
  <si>
    <t>Мытье лестничных площадок и маршей</t>
  </si>
  <si>
    <t>3.1.1.1.2.1</t>
  </si>
  <si>
    <t>Мытье  лестничных площадок и маршей нижних трех этажей (в доме без лифтов и мусоропровода)</t>
  </si>
  <si>
    <t>3.1.1.1.2.2</t>
  </si>
  <si>
    <t>Мытье  лестничных площадок и маршей  выше третьего этажа (в доме без лифтов и мусоропровода)</t>
  </si>
  <si>
    <t>3.1.3</t>
  </si>
  <si>
    <t>Протирка пыли  с колпаков  светильников, подоконников в помещениях общего  пользования</t>
  </si>
  <si>
    <t>3.1.3.1</t>
  </si>
  <si>
    <t>Протирка пыли  с колпаков  светильников (в подвалах, на чердаках и лестничных клетках)</t>
  </si>
  <si>
    <t>3.1.3.2</t>
  </si>
  <si>
    <t>Протирка пыли  с подоконников в помещениях общего  пользования</t>
  </si>
  <si>
    <t xml:space="preserve">100 м2 подоконников </t>
  </si>
  <si>
    <t>3.1.4</t>
  </si>
  <si>
    <t>Мытье и протирка дверей и окон в помещениях общего пользования, включая двери  мусорных камер</t>
  </si>
  <si>
    <t>3.1.4.1</t>
  </si>
  <si>
    <t>Мытье и протирка дверей  в помещениях общего пользования</t>
  </si>
  <si>
    <t>100 м2 дверей</t>
  </si>
  <si>
    <t>3.1.4.2</t>
  </si>
  <si>
    <t>Мытье и протирка оконных рам и переплетов в помещениях общего пользования</t>
  </si>
  <si>
    <t>100 м2 оконных рам</t>
  </si>
  <si>
    <t>3.1.4.3</t>
  </si>
  <si>
    <t>Мытье и протирка легкодоступных стекол в окнах  в помещениях общего пользования</t>
  </si>
  <si>
    <t>100 м2 окон</t>
  </si>
  <si>
    <t>3.1.4.4</t>
  </si>
  <si>
    <t>Мытье и протирка труднодоступных стекол в окнах  в помещениях общего пользования</t>
  </si>
  <si>
    <t>3.1.5</t>
  </si>
  <si>
    <t>Уборка чердачного  и подвального помещений</t>
  </si>
  <si>
    <t>3.1.5.2</t>
  </si>
  <si>
    <t>Уборка и транспортировка мусора в установленное место</t>
  </si>
  <si>
    <t>3.1.5.2.2</t>
  </si>
  <si>
    <t>Уборка мусора и транспортировкой мусора до 100 м</t>
  </si>
  <si>
    <t>1 м3  мусора</t>
  </si>
  <si>
    <t>3.1.9</t>
  </si>
  <si>
    <t>Влажная протирка элементов лестничных клеток</t>
  </si>
  <si>
    <t>3.1.9.1</t>
  </si>
  <si>
    <t>Влажная протирка почтовых ящиков (с моющим средством)</t>
  </si>
  <si>
    <t>100 кв.м почтовых ящиков</t>
  </si>
  <si>
    <t>3.1.9.5</t>
  </si>
  <si>
    <t>Влажная протирка шкафов для электросчетчиков слаботочных устройств  (с моющим средством)</t>
  </si>
  <si>
    <t>100 кв. м шкафов для электросчетчиков слаботочных устройств</t>
  </si>
  <si>
    <t>3.1.9.7</t>
  </si>
  <si>
    <t>Влажная протирка перил лестниц (с моющим средством)</t>
  </si>
  <si>
    <t>100 кв.м. перил лестниц</t>
  </si>
  <si>
    <t>3.2</t>
  </si>
  <si>
    <t>Уборка земельного участка, входящего в состав общего имущества многоквартирного дома</t>
  </si>
  <si>
    <t>3.2.1</t>
  </si>
  <si>
    <t>Подметание  земельного  участка в летний период</t>
  </si>
  <si>
    <t>3.2.1.2</t>
  </si>
  <si>
    <t>Подметание в летний период  земельного участка с усовершенствованным покрытием 2 класса</t>
  </si>
  <si>
    <t>1 000 кв.м. территории</t>
  </si>
  <si>
    <t>3.2.3</t>
  </si>
  <si>
    <t>Уборка и уход за газонами, очистка  урн</t>
  </si>
  <si>
    <t>3.2.3.1</t>
  </si>
  <si>
    <t>Уборка и уход за газонами</t>
  </si>
  <si>
    <t>3.2.3.1.1</t>
  </si>
  <si>
    <t>Уборка газонов средней засоренности от листьев, сучьев, мусора</t>
  </si>
  <si>
    <t>100 000 кв.м. территории</t>
  </si>
  <si>
    <t>3.2.3.1.3</t>
  </si>
  <si>
    <t>Уборка газонов от случайного мусора</t>
  </si>
  <si>
    <t>100 000 м2</t>
  </si>
  <si>
    <t>3.2.3.1.5</t>
  </si>
  <si>
    <t>Стрижка газонов</t>
  </si>
  <si>
    <t>на 100 кв.м.</t>
  </si>
  <si>
    <t>3.2.3.2</t>
  </si>
  <si>
    <t>Содержание урн</t>
  </si>
  <si>
    <t>3.2.3.2.10</t>
  </si>
  <si>
    <t>Очистка опрокидывающихся урн от мусора</t>
  </si>
  <si>
    <t>на 100 урн</t>
  </si>
  <si>
    <t>3.2.6</t>
  </si>
  <si>
    <t>Сдвижка и  подметание  снега при отсутствии снегопадов</t>
  </si>
  <si>
    <t>3.2.6.2</t>
  </si>
  <si>
    <t>Сдвижка и подметание снега при отсутствии снегопада на придомовой территории с усовершенствованным покрытием 2 класса</t>
  </si>
  <si>
    <t>10 000 кв.м. территории</t>
  </si>
  <si>
    <t>3.2.7</t>
  </si>
  <si>
    <t>Сдвижка и  подметание снега  при снегопаде</t>
  </si>
  <si>
    <t>3.2.7.2</t>
  </si>
  <si>
    <t>Сдвижка и подметание снега при снегопаде на придомовой территории с усовершенствованным покрытием 2 класса</t>
  </si>
  <si>
    <t>3.2.8</t>
  </si>
  <si>
    <t>Ликвидация наледи</t>
  </si>
  <si>
    <t>3.2.8.2</t>
  </si>
  <si>
    <t>Очистка территории с усовершенствованным покрытием 2 класса от наледи без обработки противогололедными реагентами</t>
  </si>
  <si>
    <t>3.2.8.9</t>
  </si>
  <si>
    <t>Посыпка территории II класса</t>
  </si>
  <si>
    <t>3.2.8.11</t>
  </si>
  <si>
    <t>Транспортировка смеси песка с хлоридами от места складирования к месту посыпки</t>
  </si>
  <si>
    <t>1 куб.м</t>
  </si>
  <si>
    <t>3.2.9</t>
  </si>
  <si>
    <t>Очистка кровли</t>
  </si>
  <si>
    <t>3.2.9.2</t>
  </si>
  <si>
    <t>Очистка кровли от снега, сбивание сосулек (при толщине слоя до 20 см)</t>
  </si>
  <si>
    <t>100 кв.м. кровли</t>
  </si>
  <si>
    <t>3.2.9.3</t>
  </si>
  <si>
    <t>Очистка кровли от снега, сбивание сосулек (при толщине слоя более 20 см добавлять на каждые следующие 10 см)</t>
  </si>
  <si>
    <t>3.2.9.4</t>
  </si>
  <si>
    <t>Очистка кровли от мусора, листьев</t>
  </si>
  <si>
    <t>100 кв.м кровли</t>
  </si>
  <si>
    <t>3.2.9.5</t>
  </si>
  <si>
    <t>Сдвигание снега и скола, сброшенного с крыш</t>
  </si>
  <si>
    <t>1 куб.м.</t>
  </si>
  <si>
    <t>3.2.10</t>
  </si>
  <si>
    <t>Механизированная уборка территории</t>
  </si>
  <si>
    <t>3.2.10.4</t>
  </si>
  <si>
    <t>Сдвигание свежевыпавшего снега толщиной слоя свыше 2 см в валы или кучи трактором</t>
  </si>
  <si>
    <t>1000 м2</t>
  </si>
  <si>
    <t>3.2.10.9</t>
  </si>
  <si>
    <t>Погрузка снега и скола в автосамосвалы погрузчиками</t>
  </si>
  <si>
    <t>м3</t>
  </si>
  <si>
    <t>3.2.11</t>
  </si>
  <si>
    <t>Уборка крыльца и площадки перед входом в подъезд (в холодный период года)</t>
  </si>
  <si>
    <t>3.2.12</t>
  </si>
  <si>
    <t>Уборка крыльца и площадки перед входом в подъезд (в теплый период года)</t>
  </si>
  <si>
    <t>3.4</t>
  </si>
  <si>
    <t>Прочие работы</t>
  </si>
  <si>
    <t>3.4.1</t>
  </si>
  <si>
    <t>Дератизация чердаков и подвалов</t>
  </si>
  <si>
    <t>3.4.1.3</t>
  </si>
  <si>
    <t>Дератизация чердаков и подвалов с применением готовой приманки типа "Шторм" -  антикоагулянта II поколения</t>
  </si>
  <si>
    <t>1000 м2  обрабатываемых  помещений</t>
  </si>
  <si>
    <t>3.4.2</t>
  </si>
  <si>
    <t>Дезинсекция  подвалов</t>
  </si>
  <si>
    <t>3.4.5</t>
  </si>
  <si>
    <t>Не прошедшие проверку или альтернативные виды работ</t>
  </si>
  <si>
    <t>3.4.5.15</t>
  </si>
  <si>
    <t>Раздел удален. Устранение аварии на внутридомовых инженерных сетях и выполнение заявок населения (в домах, оборудованных газовыми плитами)</t>
  </si>
  <si>
    <t>3.4.5.15.3</t>
  </si>
  <si>
    <t>1000 м2  общей площади жилых помещений, оборудованных газовыми плитами (в год для одной смены)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</si>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</sst>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.00"/>
  </numFmts>
  <fonts count="11" x14ac:knownFonts="1">
    <font>
      <sz val="11"/>
      <color theme="1"/>
      <name val="Calibri"/>
      <family val="2"/>
      <scheme val="minor"/>
    </font>
    <font>
      <sz val="9"/>
      <name val="Calibri"/>
    </font>
    <font>
      <sz val="10"/>
      <name val="Calibri"/>
    </font>
    <font>
      <sz val="12"/>
      <name val="Calibri"/>
    </font>
    <font>
      <b/>
      <sz val="9"/>
      <color rgb="FFFFFFFF"/>
      <name val="Calibri"/>
    </font>
    <font>
      <b/>
      <sz val="18"/>
      <color rgb="FF000099"/>
      <name val="Calibri"/>
    </font>
    <font>
      <i/>
      <sz val="11"/>
      <name val="Calibri"/>
    </font>
    <font>
      <b/>
      <sz val="11"/>
      <name val="Calibri"/>
    </font>
    <font>
      <b/>
      <sz val="10"/>
      <color rgb="FF707070"/>
      <name val="Calibri"/>
    </font>
    <font>
      <b/>
      <sz val="11"/>
      <color rgb="FFFFFFFF"/>
      <name val="Calibri"/>
    </font>
    <font>
      <b/>
      <sz val="10"/>
      <color rgb="FFFFFF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546E7A"/>
      </patternFill>
    </fill>
    <fill>
      <patternFill patternType="solid">
        <fgColor rgb="FFDCE6F1"/>
      </patternFill>
    </fill>
    <fill>
      <patternFill patternType="solid">
        <fgColor rgb="FFF2F2F2"/>
      </patternFill>
    </fill>
    <fill>
      <patternFill patternType="solid">
        <fgColor rgb="FFF9F7ED"/>
      </patternFill>
    </fill>
    <fill>
      <patternFill patternType="solid">
        <fgColor rgb="FFF5F2E0"/>
      </patternFill>
    </fill>
    <fill>
      <patternFill patternType="solid">
        <fgColor rgb="FFEBF1DE"/>
      </patternFill>
    </fill>
  </fills>
  <borders count="12">
    <border>
      <left/>
      <right/>
      <top/>
      <bottom/>
      <diagonal/>
    </border>
    <border>
      <left style="thick">
        <color rgb="FF000000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top" wrapText="1" indent="1"/>
    </xf>
    <xf numFmtId="49" fontId="2" fillId="0" borderId="0" xfId="0" applyNumberFormat="1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indent="1"/>
    </xf>
    <xf numFmtId="164" fontId="2" fillId="0" borderId="0" xfId="0" applyNumberFormat="1" applyFont="1" applyAlignment="1">
      <alignment horizontal="right" vertical="top" indent="1"/>
    </xf>
    <xf numFmtId="2" fontId="2" fillId="0" borderId="0" xfId="0" applyNumberFormat="1" applyFont="1" applyAlignment="1">
      <alignment horizontal="right" vertical="top" indent="1"/>
    </xf>
    <xf numFmtId="0" fontId="4" fillId="0" borderId="0" xfId="0" applyFont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 indent="1"/>
    </xf>
    <xf numFmtId="49" fontId="4" fillId="2" borderId="2" xfId="0" applyNumberFormat="1" applyFont="1" applyFill="1" applyBorder="1" applyAlignment="1">
      <alignment horizontal="center" vertical="center" wrapText="1" indent="1"/>
    </xf>
    <xf numFmtId="0" fontId="4" fillId="2" borderId="2" xfId="0" applyFont="1" applyFill="1" applyBorder="1" applyAlignment="1">
      <alignment horizontal="center" vertical="center" wrapText="1" indent="1"/>
    </xf>
    <xf numFmtId="164" fontId="4" fillId="2" borderId="2" xfId="0" applyNumberFormat="1" applyFont="1" applyFill="1" applyBorder="1" applyAlignment="1">
      <alignment horizontal="center" vertical="center" wrapText="1" indent="1"/>
    </xf>
    <xf numFmtId="2" fontId="4" fillId="2" borderId="3" xfId="0" applyNumberFormat="1" applyFont="1" applyFill="1" applyBorder="1" applyAlignment="1">
      <alignment horizontal="center" vertical="center" wrapText="1" indent="1"/>
    </xf>
    <xf numFmtId="0" fontId="6" fillId="0" borderId="6" xfId="0" applyFont="1" applyBorder="1" applyAlignment="1">
      <alignment horizontal="left" indent="1"/>
    </xf>
    <xf numFmtId="2" fontId="6" fillId="0" borderId="8" xfId="0" applyNumberFormat="1" applyFont="1" applyBorder="1" applyAlignment="1">
      <alignment horizontal="left" indent="1"/>
    </xf>
    <xf numFmtId="0" fontId="7" fillId="0" borderId="0" xfId="0" applyFont="1"/>
    <xf numFmtId="0" fontId="7" fillId="3" borderId="9" xfId="0" applyFont="1" applyFill="1" applyBorder="1" applyAlignment="1">
      <alignment horizontal="center" vertical="top" wrapText="1" indent="1"/>
    </xf>
    <xf numFmtId="49" fontId="7" fillId="3" borderId="10" xfId="0" applyNumberFormat="1" applyFont="1" applyFill="1" applyBorder="1" applyAlignment="1">
      <alignment horizontal="left" vertical="top" wrapText="1" indent="1"/>
    </xf>
    <xf numFmtId="0" fontId="8" fillId="0" borderId="0" xfId="0" applyFont="1"/>
    <xf numFmtId="0" fontId="8" fillId="4" borderId="9" xfId="0" applyFont="1" applyFill="1" applyBorder="1" applyAlignment="1">
      <alignment horizontal="center" vertical="top" wrapText="1" indent="1"/>
    </xf>
    <xf numFmtId="49" fontId="8" fillId="4" borderId="10" xfId="0" applyNumberFormat="1" applyFont="1" applyFill="1" applyBorder="1" applyAlignment="1">
      <alignment horizontal="left" vertical="top" wrapText="1" indent="1"/>
    </xf>
    <xf numFmtId="0" fontId="1" fillId="0" borderId="9" xfId="0" applyFont="1" applyBorder="1" applyAlignment="1">
      <alignment horizontal="center" vertical="top" wrapText="1" indent="1"/>
    </xf>
    <xf numFmtId="49" fontId="2" fillId="0" borderId="10" xfId="0" applyNumberFormat="1" applyFont="1" applyBorder="1" applyAlignment="1">
      <alignment horizontal="left" vertical="top" wrapText="1" indent="1"/>
    </xf>
    <xf numFmtId="0" fontId="2" fillId="0" borderId="10" xfId="0" applyFont="1" applyBorder="1" applyAlignment="1">
      <alignment horizontal="left" vertical="top" wrapText="1"/>
    </xf>
    <xf numFmtId="0" fontId="3" fillId="5" borderId="10" xfId="0" applyFont="1" applyFill="1" applyBorder="1" applyAlignment="1">
      <alignment horizontal="right" vertical="top" indent="1"/>
    </xf>
    <xf numFmtId="0" fontId="3" fillId="6" borderId="10" xfId="0" applyFont="1" applyFill="1" applyBorder="1" applyAlignment="1">
      <alignment horizontal="right" vertical="top" indent="1"/>
    </xf>
    <xf numFmtId="164" fontId="2" fillId="0" borderId="10" xfId="0" applyNumberFormat="1" applyFont="1" applyBorder="1" applyAlignment="1">
      <alignment horizontal="right" vertical="top" indent="1"/>
    </xf>
    <xf numFmtId="164" fontId="2" fillId="7" borderId="10" xfId="0" applyNumberFormat="1" applyFont="1" applyFill="1" applyBorder="1" applyAlignment="1">
      <alignment horizontal="right" vertical="top" indent="1"/>
    </xf>
    <xf numFmtId="2" fontId="2" fillId="0" borderId="11" xfId="0" applyNumberFormat="1" applyFont="1" applyBorder="1" applyAlignment="1">
      <alignment horizontal="right" vertical="top" indent="1"/>
    </xf>
    <xf numFmtId="0" fontId="9" fillId="0" borderId="0" xfId="0" applyFont="1" applyAlignment="1">
      <alignment horizontal="right" vertical="center" wrapText="1" indent="1"/>
    </xf>
    <xf numFmtId="164" fontId="9" fillId="2" borderId="2" xfId="0" applyNumberFormat="1" applyFont="1" applyFill="1" applyBorder="1" applyAlignment="1">
      <alignment horizontal="right" vertical="center" wrapText="1" indent="1"/>
    </xf>
    <xf numFmtId="2" fontId="9" fillId="2" borderId="3" xfId="0" applyNumberFormat="1" applyFont="1" applyFill="1" applyBorder="1" applyAlignment="1">
      <alignment horizontal="right" vertical="center" wrapText="1" indent="1"/>
    </xf>
    <xf numFmtId="0" fontId="8" fillId="4" borderId="11" xfId="0" applyFont="1" applyFill="1" applyBorder="1" applyAlignment="1">
      <alignment indent="1"/>
    </xf>
    <xf numFmtId="0" fontId="8" fillId="4" borderId="11" xfId="0" applyFont="1" applyFill="1" applyBorder="1" applyAlignment="1">
      <alignment indent="2"/>
    </xf>
    <xf numFmtId="0" fontId="10" fillId="2" borderId="1" xfId="0" applyFont="1" applyFill="1" applyBorder="1" applyAlignment="1">
      <alignment horizontal="right" vertical="center" wrapText="1" indent="1"/>
    </xf>
    <xf numFmtId="0" fontId="7" fillId="3" borderId="11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indent="3"/>
    </xf>
    <xf numFmtId="0" fontId="5" fillId="0" borderId="4" xfId="0" applyFont="1" applyBorder="1" applyAlignment="1">
      <alignment horizontal="left" vertical="center" indent="1"/>
    </xf>
    <xf numFmtId="164" fontId="6" fillId="0" borderId="5" xfId="0" applyNumberFormat="1" applyFont="1" applyBorder="1" applyAlignment="1">
      <alignment horizontal="right" indent="1"/>
    </xf>
    <xf numFmtId="164" fontId="6" fillId="0" borderId="7" xfId="0" applyNumberFormat="1" applyFont="1" applyBorder="1" applyAlignment="1">
      <alignment horizontal="right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5"/>
  <sheetViews>
    <sheetView tabSelected="1" workbookViewId="0">
      <pane ySplit="1" topLeftCell="A2" activePane="bottomLeft" state="frozen"/>
      <selection pane="bottomLeft" activeCell="B2" sqref="B2:L3"/>
    </sheetView>
  </sheetViews>
  <sheetFormatPr defaultRowHeight="15.6" x14ac:dyDescent="0.3"/>
  <cols>
    <col min="1" max="1" width="3" customWidth="1"/>
    <col min="2" max="2" width="6" style="1" customWidth="1"/>
    <col min="3" max="3" width="13" style="2" customWidth="1"/>
    <col min="4" max="4" width="50" style="3" customWidth="1"/>
    <col min="5" max="5" width="20" style="3" customWidth="1"/>
    <col min="6" max="7" width="12" style="4" customWidth="1"/>
    <col min="8" max="9" width="14" style="5" customWidth="1"/>
    <col min="10" max="10" width="13" style="5" customWidth="1"/>
    <col min="11" max="13" width="14" style="5" customWidth="1"/>
    <col min="14" max="14" width="16" style="5" customWidth="1"/>
    <col min="15" max="15" width="12" style="6" customWidth="1"/>
  </cols>
  <sheetData>
    <row r="1" spans="1:15" s="7" customFormat="1" ht="40.049999999999997" customHeight="1" x14ac:dyDescent="0.3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2" t="s">
        <v>14</v>
      </c>
    </row>
    <row r="2" spans="1:15" ht="14.4" x14ac:dyDescent="0.3">
      <c r="A2" t="s">
        <v>0</v>
      </c>
      <c r="B2" s="37" t="s">
        <v>15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8" t="s">
        <v>16</v>
      </c>
      <c r="N2" s="38"/>
      <c r="O2" s="13" t="s">
        <v>17</v>
      </c>
    </row>
    <row r="3" spans="1:15" ht="14.4" x14ac:dyDescent="0.3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9" t="s">
        <v>18</v>
      </c>
      <c r="N3" s="39"/>
      <c r="O3" s="14">
        <v>4054.3</v>
      </c>
    </row>
    <row r="4" spans="1:15" s="15" customFormat="1" ht="14.4" x14ac:dyDescent="0.3">
      <c r="B4" s="16"/>
      <c r="C4" s="17" t="s">
        <v>19</v>
      </c>
      <c r="D4" s="35" t="s">
        <v>20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s="18" customFormat="1" ht="13.8" x14ac:dyDescent="0.3">
      <c r="B5" s="19"/>
      <c r="C5" s="20" t="s">
        <v>21</v>
      </c>
      <c r="D5" s="32" t="s">
        <v>22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 x14ac:dyDescent="0.3">
      <c r="B6" s="21">
        <v>1</v>
      </c>
      <c r="C6" s="22" t="s">
        <v>23</v>
      </c>
      <c r="D6" s="23" t="s">
        <v>24</v>
      </c>
      <c r="E6" s="23" t="s">
        <v>25</v>
      </c>
      <c r="F6" s="24">
        <v>0.5</v>
      </c>
      <c r="G6" s="25">
        <v>1</v>
      </c>
      <c r="H6" s="26">
        <f>F6 * G6 * 1502.62518</f>
        <v>751.31259</v>
      </c>
      <c r="I6" s="26">
        <f>F6 * G6 * 0</f>
        <v>0</v>
      </c>
      <c r="J6" s="26">
        <f>F6 * G6 * 19.10304</f>
        <v>9.55152</v>
      </c>
      <c r="K6" s="26">
        <f>F6 * G6 * 1430.799696</f>
        <v>715.39984800000002</v>
      </c>
      <c r="L6" s="26">
        <f>F6 * G6 * 343.197087</f>
        <v>171.59854350000001</v>
      </c>
      <c r="M6" s="26">
        <f>F6 * G6 * 300.525036</f>
        <v>150.262518</v>
      </c>
      <c r="N6" s="27">
        <f>SUM(H6:M6)</f>
        <v>1798.1250195</v>
      </c>
      <c r="O6" s="28">
        <f>IF(O3&gt;0,N6/O3/12,0)</f>
        <v>3.6959216541696469E-2</v>
      </c>
    </row>
    <row r="7" spans="1:15" s="18" customFormat="1" ht="13.8" x14ac:dyDescent="0.3">
      <c r="B7" s="19"/>
      <c r="C7" s="20" t="s">
        <v>26</v>
      </c>
      <c r="D7" s="32" t="s">
        <v>27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5" ht="27.6" x14ac:dyDescent="0.3">
      <c r="B8" s="21">
        <v>2</v>
      </c>
      <c r="C8" s="22" t="s">
        <v>28</v>
      </c>
      <c r="D8" s="23" t="s">
        <v>29</v>
      </c>
      <c r="E8" s="23" t="s">
        <v>30</v>
      </c>
      <c r="F8" s="24">
        <v>2</v>
      </c>
      <c r="G8" s="25">
        <v>0.2</v>
      </c>
      <c r="H8" s="26">
        <f>F8 * G8 * 1481.43767</f>
        <v>592.57506799999999</v>
      </c>
      <c r="I8" s="26">
        <f>F8 * G8 * 3281.747533</f>
        <v>1312.6990132000001</v>
      </c>
      <c r="J8" s="26">
        <f>F8 * G8 * 33.486129</f>
        <v>13.3944516</v>
      </c>
      <c r="K8" s="26">
        <f>F8 * G8 * 1410.62495</f>
        <v>564.24997999999994</v>
      </c>
      <c r="L8" s="26">
        <f>F8 * G8 * 686.128092</f>
        <v>274.4512368</v>
      </c>
      <c r="M8" s="26">
        <f>F8 * G8 * 296.287534</f>
        <v>118.5150136</v>
      </c>
      <c r="N8" s="27">
        <f>SUM(H8:M8)</f>
        <v>2875.8847632000002</v>
      </c>
      <c r="O8" s="28">
        <f>IF(O3&gt;0,N8/O3/12,0)</f>
        <v>5.9111822904077155E-2</v>
      </c>
    </row>
    <row r="9" spans="1:15" s="18" customFormat="1" ht="13.8" x14ac:dyDescent="0.3">
      <c r="B9" s="19"/>
      <c r="C9" s="20" t="s">
        <v>31</v>
      </c>
      <c r="D9" s="32" t="s">
        <v>32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15" ht="41.4" x14ac:dyDescent="0.3">
      <c r="B10" s="21">
        <v>3</v>
      </c>
      <c r="C10" s="22" t="s">
        <v>33</v>
      </c>
      <c r="D10" s="23" t="s">
        <v>34</v>
      </c>
      <c r="E10" s="23" t="s">
        <v>35</v>
      </c>
      <c r="F10" s="24">
        <v>0.01</v>
      </c>
      <c r="G10" s="25">
        <v>1</v>
      </c>
      <c r="H10" s="26">
        <f>F10 * G10 * 2581.072824</f>
        <v>25.81072824</v>
      </c>
      <c r="I10" s="26">
        <f>F10 * G10 * 7773.034049</f>
        <v>77.730340490000003</v>
      </c>
      <c r="J10" s="26">
        <f t="shared" ref="J10:J15" si="0">F10 * G10 * 0</f>
        <v>0</v>
      </c>
      <c r="K10" s="26">
        <f>F10 * G10 * 2457.697543</f>
        <v>24.576975430000005</v>
      </c>
      <c r="L10" s="26">
        <f>F10 * G10 * 1406.10600299999</f>
        <v>14.061060029999901</v>
      </c>
      <c r="M10" s="26">
        <f>F10 * G10 * 516.214565</f>
        <v>5.1621456500000003</v>
      </c>
      <c r="N10" s="27">
        <f t="shared" ref="N10:N15" si="1">SUM(H10:M10)</f>
        <v>147.34124983999993</v>
      </c>
      <c r="O10" s="28">
        <f>IF(O3&gt;0,N10/O3/12,0)</f>
        <v>3.0284975178616926E-3</v>
      </c>
    </row>
    <row r="11" spans="1:15" x14ac:dyDescent="0.3">
      <c r="B11" s="21">
        <v>4</v>
      </c>
      <c r="C11" s="22" t="s">
        <v>36</v>
      </c>
      <c r="D11" s="23" t="s">
        <v>37</v>
      </c>
      <c r="E11" s="23" t="s">
        <v>38</v>
      </c>
      <c r="F11" s="24">
        <v>0.03</v>
      </c>
      <c r="G11" s="25">
        <v>1</v>
      </c>
      <c r="H11" s="26">
        <f>F11 * G11 * 1665.965186</f>
        <v>49.978955579999997</v>
      </c>
      <c r="I11" s="26">
        <f>F11 * G11 * 3384</f>
        <v>101.52</v>
      </c>
      <c r="J11" s="26">
        <f t="shared" si="0"/>
        <v>0</v>
      </c>
      <c r="K11" s="26">
        <f>F11 * G11 * 1586.33205</f>
        <v>47.589961500000001</v>
      </c>
      <c r="L11" s="26">
        <f>F11 * G11 * 735.281223</f>
        <v>22.058436689999997</v>
      </c>
      <c r="M11" s="26">
        <f>F11 * G11 * 333.193037</f>
        <v>9.995791109999999</v>
      </c>
      <c r="N11" s="27">
        <f t="shared" si="1"/>
        <v>231.14314487999999</v>
      </c>
      <c r="O11" s="28">
        <f>IF(O3&gt;0,N11/O3/12,0)</f>
        <v>4.7509875292898896E-3</v>
      </c>
    </row>
    <row r="12" spans="1:15" x14ac:dyDescent="0.3">
      <c r="B12" s="21">
        <v>5</v>
      </c>
      <c r="C12" s="22" t="s">
        <v>39</v>
      </c>
      <c r="D12" s="23" t="s">
        <v>40</v>
      </c>
      <c r="E12" s="23" t="s">
        <v>38</v>
      </c>
      <c r="F12" s="24">
        <v>0.01</v>
      </c>
      <c r="G12" s="25">
        <v>0.1</v>
      </c>
      <c r="H12" s="26">
        <f>F12 * G12 * 6019.651005</f>
        <v>6.0196510050000001</v>
      </c>
      <c r="I12" s="26">
        <f>F12 * G12 * 7527.332</f>
        <v>7.5273320000000004</v>
      </c>
      <c r="J12" s="26">
        <f t="shared" si="0"/>
        <v>0</v>
      </c>
      <c r="K12" s="26">
        <f>F12 * G12 * 5731.911687</f>
        <v>5.7319116870000002</v>
      </c>
      <c r="L12" s="26">
        <f>F12 * G12 * 2160.938026</f>
        <v>2.1609380259999997</v>
      </c>
      <c r="M12" s="26">
        <f>F12 * G12 * 1203.930201</f>
        <v>1.2039302009999999</v>
      </c>
      <c r="N12" s="27">
        <f t="shared" si="1"/>
        <v>22.643762919</v>
      </c>
      <c r="O12" s="28">
        <f>IF(O3&gt;0,N12/O3/12,0)</f>
        <v>4.6542689077029321E-4</v>
      </c>
    </row>
    <row r="13" spans="1:15" x14ac:dyDescent="0.3">
      <c r="B13" s="21">
        <v>6</v>
      </c>
      <c r="C13" s="22" t="s">
        <v>41</v>
      </c>
      <c r="D13" s="23" t="s">
        <v>42</v>
      </c>
      <c r="E13" s="23" t="s">
        <v>38</v>
      </c>
      <c r="F13" s="24">
        <v>0.02</v>
      </c>
      <c r="G13" s="25">
        <v>0.2</v>
      </c>
      <c r="H13" s="26">
        <f>F13 * G13 * 8500.565304</f>
        <v>34.002261216000001</v>
      </c>
      <c r="I13" s="26">
        <f>F13 * G13 * 2800.26</f>
        <v>11.201040000000001</v>
      </c>
      <c r="J13" s="26">
        <f t="shared" si="0"/>
        <v>0</v>
      </c>
      <c r="K13" s="26">
        <f>F13 * G13 * 8094.238283</f>
        <v>32.376953131999997</v>
      </c>
      <c r="L13" s="26">
        <f>F13 * G13 * 2225.541136</f>
        <v>8.9021645439999997</v>
      </c>
      <c r="M13" s="26">
        <f>F13 * G13 * 1700.113061</f>
        <v>6.8004522440000006</v>
      </c>
      <c r="N13" s="27">
        <f t="shared" si="1"/>
        <v>93.282871135999997</v>
      </c>
      <c r="O13" s="28">
        <f>IF(O3&gt;0,N13/O3/12,0)</f>
        <v>1.9173649198793051E-3</v>
      </c>
    </row>
    <row r="14" spans="1:15" x14ac:dyDescent="0.3">
      <c r="B14" s="21">
        <v>7</v>
      </c>
      <c r="C14" s="22" t="s">
        <v>43</v>
      </c>
      <c r="D14" s="23" t="s">
        <v>44</v>
      </c>
      <c r="E14" s="23" t="s">
        <v>45</v>
      </c>
      <c r="F14" s="24">
        <v>0.5</v>
      </c>
      <c r="G14" s="25">
        <v>0.1</v>
      </c>
      <c r="H14" s="26">
        <f>F14 * G14 * 8700.180008</f>
        <v>435.00900039999999</v>
      </c>
      <c r="I14" s="26">
        <f>F14 * G14 * 53640.440947</f>
        <v>2682.0220473500003</v>
      </c>
      <c r="J14" s="26">
        <f t="shared" si="0"/>
        <v>0</v>
      </c>
      <c r="K14" s="26">
        <f>F14 * G14 * 8284.311403</f>
        <v>414.21557015000002</v>
      </c>
      <c r="L14" s="26">
        <f>F14 * G14 * 7634.504162</f>
        <v>381.72520810000003</v>
      </c>
      <c r="M14" s="26">
        <f>F14 * G14 * 1740.036002</f>
        <v>87.001800100000011</v>
      </c>
      <c r="N14" s="27">
        <f t="shared" si="1"/>
        <v>3999.9736261000003</v>
      </c>
      <c r="O14" s="28">
        <f>IF(O3&gt;0,N14/O3/12,0)</f>
        <v>8.2216692279390616E-2</v>
      </c>
    </row>
    <row r="15" spans="1:15" ht="41.4" x14ac:dyDescent="0.3">
      <c r="B15" s="21">
        <v>8</v>
      </c>
      <c r="C15" s="22" t="s">
        <v>46</v>
      </c>
      <c r="D15" s="23" t="s">
        <v>47</v>
      </c>
      <c r="E15" s="23" t="s">
        <v>38</v>
      </c>
      <c r="F15" s="24">
        <v>0.02</v>
      </c>
      <c r="G15" s="25">
        <v>0.1</v>
      </c>
      <c r="H15" s="26">
        <f>F15 * G15 * 15122.740319</f>
        <v>30.245480638</v>
      </c>
      <c r="I15" s="26">
        <f>F15 * G15 * 16971.42176</f>
        <v>33.942843520000004</v>
      </c>
      <c r="J15" s="26">
        <f t="shared" si="0"/>
        <v>0</v>
      </c>
      <c r="K15" s="26">
        <f>F15 * G15 * 14399.8733309999</f>
        <v>28.799746661999801</v>
      </c>
      <c r="L15" s="26">
        <f>F15 * G15 * 5224.210556</f>
        <v>10.448421112</v>
      </c>
      <c r="M15" s="26">
        <f>F15 * G15 * 3024.548064</f>
        <v>6.0490961280000004</v>
      </c>
      <c r="N15" s="27">
        <f t="shared" si="1"/>
        <v>109.48558805999981</v>
      </c>
      <c r="O15" s="28">
        <f>IF(O3&gt;0,N15/O3/12,0)</f>
        <v>2.2504005635991379E-3</v>
      </c>
    </row>
    <row r="16" spans="1:15" s="15" customFormat="1" ht="14.4" x14ac:dyDescent="0.3">
      <c r="B16" s="16"/>
      <c r="C16" s="17" t="s">
        <v>48</v>
      </c>
      <c r="D16" s="35" t="s">
        <v>49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2:15" s="18" customFormat="1" ht="13.8" x14ac:dyDescent="0.3">
      <c r="B17" s="19"/>
      <c r="C17" s="20" t="s">
        <v>50</v>
      </c>
      <c r="D17" s="32" t="s">
        <v>51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2:15" s="18" customFormat="1" ht="13.8" x14ac:dyDescent="0.3">
      <c r="B18" s="19"/>
      <c r="C18" s="20" t="s">
        <v>52</v>
      </c>
      <c r="D18" s="33" t="s">
        <v>53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2:15" ht="27.6" x14ac:dyDescent="0.3">
      <c r="B19" s="21">
        <v>9</v>
      </c>
      <c r="C19" s="22" t="s">
        <v>54</v>
      </c>
      <c r="D19" s="23" t="s">
        <v>55</v>
      </c>
      <c r="E19" s="23" t="s">
        <v>56</v>
      </c>
      <c r="F19" s="24">
        <v>1.5</v>
      </c>
      <c r="G19" s="25">
        <v>1</v>
      </c>
      <c r="H19" s="26">
        <f>F19 * G19 * 2469.805358</f>
        <v>3704.7080370000003</v>
      </c>
      <c r="I19" s="26">
        <f>F19 * G19 * 2048.44283</f>
        <v>3072.6642449999999</v>
      </c>
      <c r="J19" s="26">
        <f>F19 * G19 * 0</f>
        <v>0</v>
      </c>
      <c r="K19" s="26">
        <f>F19 * G19 * 2351.748662</f>
        <v>3527.622993</v>
      </c>
      <c r="L19" s="26">
        <f>F19 * G19 * 776.897561</f>
        <v>1165.3463415000001</v>
      </c>
      <c r="M19" s="26">
        <f>F19 * G19 * 493.961072</f>
        <v>740.94160799999997</v>
      </c>
      <c r="N19" s="27">
        <f>SUM(H19:M19)</f>
        <v>12211.283224500001</v>
      </c>
      <c r="O19" s="28">
        <f>IF(O3&gt;0,N19/O3/12,0)</f>
        <v>0.25099448372715388</v>
      </c>
    </row>
    <row r="20" spans="2:15" ht="27.6" x14ac:dyDescent="0.3">
      <c r="B20" s="21">
        <v>10</v>
      </c>
      <c r="C20" s="22" t="s">
        <v>57</v>
      </c>
      <c r="D20" s="23" t="s">
        <v>58</v>
      </c>
      <c r="E20" s="23" t="s">
        <v>56</v>
      </c>
      <c r="F20" s="24">
        <v>0.5</v>
      </c>
      <c r="G20" s="25">
        <v>1</v>
      </c>
      <c r="H20" s="26">
        <f>F20 * G20 * 1198.93464</f>
        <v>599.46731999999997</v>
      </c>
      <c r="I20" s="26">
        <f>F20 * G20 * 2048.44283</f>
        <v>1024.221415</v>
      </c>
      <c r="J20" s="26">
        <f>F20 * G20 * 0</f>
        <v>0</v>
      </c>
      <c r="K20" s="26">
        <f>F20 * G20 * 1141.625564</f>
        <v>570.81278199999997</v>
      </c>
      <c r="L20" s="26">
        <f>F20 * G20 * 488.337341</f>
        <v>244.16867049999999</v>
      </c>
      <c r="M20" s="26">
        <f>F20 * G20 * 239.786928</f>
        <v>119.89346399999999</v>
      </c>
      <c r="N20" s="27">
        <f>SUM(H20:M20)</f>
        <v>2558.5636514999997</v>
      </c>
      <c r="O20" s="28">
        <f>IF(O3&gt;0,N20/O3/12,0)</f>
        <v>5.258950685075104E-2</v>
      </c>
    </row>
    <row r="21" spans="2:15" s="18" customFormat="1" ht="13.8" x14ac:dyDescent="0.3">
      <c r="B21" s="19"/>
      <c r="C21" s="20" t="s">
        <v>59</v>
      </c>
      <c r="D21" s="32" t="s">
        <v>60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</row>
    <row r="22" spans="2:15" s="18" customFormat="1" ht="13.8" x14ac:dyDescent="0.3">
      <c r="B22" s="19"/>
      <c r="C22" s="20" t="s">
        <v>61</v>
      </c>
      <c r="D22" s="33" t="s">
        <v>62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2:15" ht="41.4" x14ac:dyDescent="0.3">
      <c r="B23" s="21">
        <v>11</v>
      </c>
      <c r="C23" s="22" t="s">
        <v>63</v>
      </c>
      <c r="D23" s="23" t="s">
        <v>64</v>
      </c>
      <c r="E23" s="23" t="s">
        <v>65</v>
      </c>
      <c r="F23" s="24">
        <v>2</v>
      </c>
      <c r="G23" s="25">
        <v>1</v>
      </c>
      <c r="H23" s="26">
        <f>F23 * G23 * 7035.031917</f>
        <v>14070.063834</v>
      </c>
      <c r="I23" s="26">
        <f>F23 * G23 * 9846.113853</f>
        <v>19692.227706000001</v>
      </c>
      <c r="J23" s="26">
        <f>F23 * G23 * 0</f>
        <v>0</v>
      </c>
      <c r="K23" s="26">
        <f>F23 * G23 * 6698.757391</f>
        <v>13397.514782</v>
      </c>
      <c r="L23" s="26">
        <f>F23 * G23 * 2636.118957</f>
        <v>5272.2379140000003</v>
      </c>
      <c r="M23" s="26">
        <f>F23 * G23 * 1407.006383</f>
        <v>2814.0127659999998</v>
      </c>
      <c r="N23" s="27">
        <f>SUM(H23:M23)</f>
        <v>55246.057002000001</v>
      </c>
      <c r="O23" s="28">
        <f>IF(O3&gt;0,N23/O3/12,0)</f>
        <v>1.1355445042300767</v>
      </c>
    </row>
    <row r="24" spans="2:15" s="18" customFormat="1" ht="13.8" x14ac:dyDescent="0.3">
      <c r="B24" s="19"/>
      <c r="C24" s="20" t="s">
        <v>66</v>
      </c>
      <c r="D24" s="32" t="s">
        <v>67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</row>
    <row r="25" spans="2:15" ht="27.6" x14ac:dyDescent="0.3">
      <c r="B25" s="21">
        <v>12</v>
      </c>
      <c r="C25" s="22" t="s">
        <v>68</v>
      </c>
      <c r="D25" s="23" t="s">
        <v>69</v>
      </c>
      <c r="E25" s="23" t="s">
        <v>70</v>
      </c>
      <c r="F25" s="24">
        <v>0.05</v>
      </c>
      <c r="G25" s="25">
        <v>1</v>
      </c>
      <c r="H25" s="26">
        <f>F25 * G25 * 47957.3856</f>
        <v>2397.8692800000003</v>
      </c>
      <c r="I25" s="26">
        <f>F25 * G25 * 24446.137819</f>
        <v>1222.30689095</v>
      </c>
      <c r="J25" s="26">
        <f>F25 * G25 * 0</f>
        <v>0</v>
      </c>
      <c r="K25" s="26">
        <f>F25 * G25 * 45665.022568</f>
        <v>2283.2511284000002</v>
      </c>
      <c r="L25" s="26">
        <f>F25 * G25 * 13468.132438</f>
        <v>673.40662190000012</v>
      </c>
      <c r="M25" s="26">
        <f>F25 * G25 * 9591.47712</f>
        <v>479.57385599999998</v>
      </c>
      <c r="N25" s="27">
        <f>SUM(H25:M25)</f>
        <v>7056.4077772500013</v>
      </c>
      <c r="O25" s="28">
        <f>IF(O3&gt;0,N25/O3/12,0)</f>
        <v>0.14503958301988015</v>
      </c>
    </row>
    <row r="26" spans="2:15" x14ac:dyDescent="0.3">
      <c r="B26" s="21">
        <v>13</v>
      </c>
      <c r="C26" s="22" t="s">
        <v>71</v>
      </c>
      <c r="D26" s="23" t="s">
        <v>72</v>
      </c>
      <c r="E26" s="23" t="s">
        <v>73</v>
      </c>
      <c r="F26" s="24">
        <v>0.05</v>
      </c>
      <c r="G26" s="25">
        <v>1</v>
      </c>
      <c r="H26" s="26">
        <f>F26 * G26 * 7188.859584</f>
        <v>359.44297920000002</v>
      </c>
      <c r="I26" s="26">
        <f>F26 * G26 * 152.872576</f>
        <v>7.643628800000001</v>
      </c>
      <c r="J26" s="26">
        <f>F26 * G26 * 0</f>
        <v>0</v>
      </c>
      <c r="K26" s="26">
        <f>F26 * G26 * 6845.232096</f>
        <v>342.26160479999999</v>
      </c>
      <c r="L26" s="26">
        <f>F26 * G26 * 1648.409666</f>
        <v>82.420483300000001</v>
      </c>
      <c r="M26" s="26">
        <f>F26 * G26 * 1437.771917</f>
        <v>71.888595850000002</v>
      </c>
      <c r="N26" s="27">
        <f>SUM(H26:M26)</f>
        <v>863.65729195000006</v>
      </c>
      <c r="O26" s="28">
        <f>IF(O3&gt;0,N26/O3/12,0)</f>
        <v>1.7751878498343324E-2</v>
      </c>
    </row>
    <row r="27" spans="2:15" ht="55.2" x14ac:dyDescent="0.3">
      <c r="B27" s="21">
        <v>14</v>
      </c>
      <c r="C27" s="22" t="s">
        <v>74</v>
      </c>
      <c r="D27" s="23" t="s">
        <v>75</v>
      </c>
      <c r="E27" s="23" t="s">
        <v>65</v>
      </c>
      <c r="F27" s="24">
        <v>0.05</v>
      </c>
      <c r="G27" s="25">
        <v>1</v>
      </c>
      <c r="H27" s="26">
        <f>F27 * G27 * 8085.533305</f>
        <v>404.27666525000001</v>
      </c>
      <c r="I27" s="26">
        <f>F27 * G27 * 9859.683787</f>
        <v>492.98418935000001</v>
      </c>
      <c r="J27" s="26">
        <f>F27 * G27 * 0</f>
        <v>0</v>
      </c>
      <c r="K27" s="26">
        <f>F27 * G27 * 7699.04481299999</f>
        <v>384.95224064999957</v>
      </c>
      <c r="L27" s="26">
        <f>F27 * G27 * 2876.074384</f>
        <v>143.80371920000002</v>
      </c>
      <c r="M27" s="26">
        <f>F27 * G27 * 1617.106661</f>
        <v>80.855333050000013</v>
      </c>
      <c r="N27" s="27">
        <f>SUM(H27:M27)</f>
        <v>1506.8721474999998</v>
      </c>
      <c r="O27" s="28">
        <f>IF(O3&gt;0,N27/O3/12,0)</f>
        <v>3.0972715131670894E-2</v>
      </c>
    </row>
    <row r="28" spans="2:15" x14ac:dyDescent="0.3">
      <c r="B28" s="21">
        <v>15</v>
      </c>
      <c r="C28" s="22" t="s">
        <v>76</v>
      </c>
      <c r="D28" s="23" t="s">
        <v>77</v>
      </c>
      <c r="E28" s="23" t="s">
        <v>78</v>
      </c>
      <c r="F28" s="24">
        <v>1</v>
      </c>
      <c r="G28" s="25">
        <v>1</v>
      </c>
      <c r="H28" s="26">
        <f>F28 * G28 * 4717.689102</f>
        <v>4717.6891020000003</v>
      </c>
      <c r="I28" s="26">
        <f>F28 * G28 * 152.872576</f>
        <v>152.87257600000001</v>
      </c>
      <c r="J28" s="26">
        <f>F28 * G28 * 0</f>
        <v>0</v>
      </c>
      <c r="K28" s="26">
        <f>F28 * G28 * 4492.183563</f>
        <v>4492.1835629999996</v>
      </c>
      <c r="L28" s="26">
        <f>F28 * G28 * 1087.31286299999</f>
        <v>1087.3128629999901</v>
      </c>
      <c r="M28" s="26">
        <f>F28 * G28 * 943.53782</f>
        <v>943.53782000000001</v>
      </c>
      <c r="N28" s="27">
        <f>SUM(H28:M28)</f>
        <v>11393.59592399999</v>
      </c>
      <c r="O28" s="28">
        <f>IF(O3&gt;0,N28/O3/12,0)</f>
        <v>0.2341874866191449</v>
      </c>
    </row>
    <row r="29" spans="2:15" s="15" customFormat="1" ht="14.4" x14ac:dyDescent="0.3">
      <c r="B29" s="16"/>
      <c r="C29" s="17" t="s">
        <v>79</v>
      </c>
      <c r="D29" s="35" t="s">
        <v>80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2:15" ht="41.4" x14ac:dyDescent="0.3">
      <c r="B30" s="21">
        <v>16</v>
      </c>
      <c r="C30" s="22" t="s">
        <v>81</v>
      </c>
      <c r="D30" s="23" t="s">
        <v>82</v>
      </c>
      <c r="E30" s="23" t="s">
        <v>83</v>
      </c>
      <c r="F30" s="24">
        <v>0.02</v>
      </c>
      <c r="G30" s="25">
        <v>1</v>
      </c>
      <c r="H30" s="26">
        <f>F30 * G30 * 14231.09698</f>
        <v>284.62193960000002</v>
      </c>
      <c r="I30" s="26">
        <f>F30 * G30 * 3662.915935</f>
        <v>73.258318700000004</v>
      </c>
      <c r="J30" s="26">
        <f>F30 * G30 * 0</f>
        <v>0</v>
      </c>
      <c r="K30" s="26">
        <f>F30 * G30 * 13550.850544</f>
        <v>271.01701088000004</v>
      </c>
      <c r="L30" s="26">
        <f>F30 * G30 * 3617.709241</f>
        <v>72.35418482</v>
      </c>
      <c r="M30" s="26">
        <f>F30 * G30 * 2846.219396</f>
        <v>56.924387920000001</v>
      </c>
      <c r="N30" s="27">
        <f>SUM(H30:M30)</f>
        <v>758.17584192000004</v>
      </c>
      <c r="O30" s="28">
        <f>IF(O3&gt;0,N30/O3/12,0)</f>
        <v>1.5583780223466443E-2</v>
      </c>
    </row>
    <row r="31" spans="2:15" s="15" customFormat="1" ht="14.4" x14ac:dyDescent="0.3">
      <c r="B31" s="16"/>
      <c r="C31" s="17" t="s">
        <v>84</v>
      </c>
      <c r="D31" s="35" t="s">
        <v>85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2:15" s="18" customFormat="1" ht="13.8" x14ac:dyDescent="0.3">
      <c r="B32" s="19"/>
      <c r="C32" s="20" t="s">
        <v>86</v>
      </c>
      <c r="D32" s="32" t="s">
        <v>87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</row>
    <row r="33" spans="2:15" s="18" customFormat="1" ht="13.8" x14ac:dyDescent="0.3">
      <c r="B33" s="19"/>
      <c r="C33" s="20" t="s">
        <v>88</v>
      </c>
      <c r="D33" s="33" t="s">
        <v>89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 x14ac:dyDescent="0.3">
      <c r="B34" s="21">
        <v>17</v>
      </c>
      <c r="C34" s="22" t="s">
        <v>90</v>
      </c>
      <c r="D34" s="23" t="s">
        <v>91</v>
      </c>
      <c r="E34" s="23" t="s">
        <v>92</v>
      </c>
      <c r="F34" s="24">
        <v>0.1</v>
      </c>
      <c r="G34" s="25">
        <v>1</v>
      </c>
      <c r="H34" s="26">
        <f>F34 * G34 * 5020.969116</f>
        <v>502.09691160000006</v>
      </c>
      <c r="I34" s="26">
        <f>F34 * G34 * 49643.360558</f>
        <v>4964.3360558000004</v>
      </c>
      <c r="J34" s="26">
        <f>F34 * G34 * 138.902445</f>
        <v>13.890244500000001</v>
      </c>
      <c r="K34" s="26">
        <f>F34 * G34 * 4856.55397</f>
        <v>485.65539699999999</v>
      </c>
      <c r="L34" s="26">
        <f>F34 * G34 * 6401.724833</f>
        <v>640.17248330000007</v>
      </c>
      <c r="M34" s="26">
        <f>F34 * G34 * 1020.070147</f>
        <v>102.00701470000001</v>
      </c>
      <c r="N34" s="27">
        <f>SUM(H34:M34)</f>
        <v>6708.1581069000003</v>
      </c>
      <c r="O34" s="28">
        <f>IF(O3&gt;0,N34/O3/12,0)</f>
        <v>0.1378815518276891</v>
      </c>
    </row>
    <row r="35" spans="2:15" s="18" customFormat="1" ht="13.8" x14ac:dyDescent="0.3">
      <c r="B35" s="19"/>
      <c r="C35" s="20" t="s">
        <v>93</v>
      </c>
      <c r="D35" s="32" t="s">
        <v>94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pans="2:15" ht="27.6" x14ac:dyDescent="0.3">
      <c r="B36" s="21">
        <v>18</v>
      </c>
      <c r="C36" s="22" t="s">
        <v>95</v>
      </c>
      <c r="D36" s="23" t="s">
        <v>96</v>
      </c>
      <c r="E36" s="23" t="s">
        <v>97</v>
      </c>
      <c r="F36" s="24">
        <v>0.1</v>
      </c>
      <c r="G36" s="25">
        <v>0.2</v>
      </c>
      <c r="H36" s="26">
        <f>F36 * G36 * 4009.492853</f>
        <v>80.189857060000023</v>
      </c>
      <c r="I36" s="26">
        <f>F36 * G36 * 1986.118472</f>
        <v>39.722369440000008</v>
      </c>
      <c r="J36" s="26">
        <f>F36 * G36 * 0.7614</f>
        <v>1.5228000000000002E-2</v>
      </c>
      <c r="K36" s="26">
        <f>F36 * G36 * 3817.839094</f>
        <v>76.356781880000014</v>
      </c>
      <c r="L36" s="26">
        <f>F36 * G36 * 1119.999646</f>
        <v>22.399992920000003</v>
      </c>
      <c r="M36" s="26">
        <f>F36 * G36 * 801.898571</f>
        <v>16.037971420000002</v>
      </c>
      <c r="N36" s="27">
        <f>SUM(H36:M36)</f>
        <v>234.72220072000002</v>
      </c>
      <c r="O36" s="28">
        <f>IF(O3&gt;0,N36/O3/12,0)</f>
        <v>4.8245525475010074E-3</v>
      </c>
    </row>
    <row r="37" spans="2:15" s="18" customFormat="1" ht="13.8" x14ac:dyDescent="0.3">
      <c r="B37" s="19"/>
      <c r="C37" s="20" t="s">
        <v>98</v>
      </c>
      <c r="D37" s="32" t="s">
        <v>99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</row>
    <row r="38" spans="2:15" x14ac:dyDescent="0.3">
      <c r="B38" s="21">
        <v>19</v>
      </c>
      <c r="C38" s="22" t="s">
        <v>100</v>
      </c>
      <c r="D38" s="23" t="s">
        <v>101</v>
      </c>
      <c r="E38" s="23" t="s">
        <v>102</v>
      </c>
      <c r="F38" s="24">
        <v>0.05</v>
      </c>
      <c r="G38" s="25">
        <v>0.1</v>
      </c>
      <c r="H38" s="26">
        <f>F38 * G38 * 20142.101952</f>
        <v>100.71050976000002</v>
      </c>
      <c r="I38" s="26">
        <f>F38 * G38 * 2458.122278</f>
        <v>12.290611390000002</v>
      </c>
      <c r="J38" s="26">
        <f>F38 * G38 * 0</f>
        <v>0</v>
      </c>
      <c r="K38" s="26">
        <f>F38 * G38 * 19179.309479</f>
        <v>95.896547395000013</v>
      </c>
      <c r="L38" s="26">
        <f>F38 * G38 * 4832.739157</f>
        <v>24.163695785000005</v>
      </c>
      <c r="M38" s="26">
        <f>F38 * G38 * 4028.42039</f>
        <v>20.142101950000004</v>
      </c>
      <c r="N38" s="27">
        <f>SUM(H38:M38)</f>
        <v>253.20346628000007</v>
      </c>
      <c r="O38" s="28">
        <f>IF(O3&gt;0,N38/O3/12,0)</f>
        <v>5.2044221830320082E-3</v>
      </c>
    </row>
    <row r="39" spans="2:15" s="15" customFormat="1" ht="14.4" x14ac:dyDescent="0.3">
      <c r="B39" s="16"/>
      <c r="C39" s="17" t="s">
        <v>103</v>
      </c>
      <c r="D39" s="35" t="s">
        <v>104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2:15" s="18" customFormat="1" ht="13.8" x14ac:dyDescent="0.3">
      <c r="B40" s="19"/>
      <c r="C40" s="20" t="s">
        <v>105</v>
      </c>
      <c r="D40" s="32" t="s">
        <v>106</v>
      </c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</row>
    <row r="41" spans="2:15" ht="27.6" x14ac:dyDescent="0.3">
      <c r="B41" s="21">
        <v>20</v>
      </c>
      <c r="C41" s="22" t="s">
        <v>107</v>
      </c>
      <c r="D41" s="23" t="s">
        <v>108</v>
      </c>
      <c r="E41" s="23" t="s">
        <v>109</v>
      </c>
      <c r="F41" s="24"/>
      <c r="G41" s="25">
        <v>1</v>
      </c>
      <c r="H41" s="26">
        <f>F41 * G41 * 81150.834824</f>
        <v>0</v>
      </c>
      <c r="I41" s="26">
        <f>F41 * G41 * 7762.05</f>
        <v>0</v>
      </c>
      <c r="J41" s="26">
        <f>F41 * G41 * 16.19595</f>
        <v>0</v>
      </c>
      <c r="K41" s="26">
        <f>F41 * G41 * 77271.82492</f>
        <v>0</v>
      </c>
      <c r="L41" s="26">
        <f>F41 * G41 * 19246.478165</f>
        <v>0</v>
      </c>
      <c r="M41" s="26">
        <f>F41 * G41 * 16230.166965</f>
        <v>0</v>
      </c>
      <c r="N41" s="27">
        <f t="shared" ref="N41:N46" si="2">SUM(H41:M41)</f>
        <v>0</v>
      </c>
      <c r="O41" s="28">
        <f>IF(O3&gt;0,N41/O3/12,0)</f>
        <v>0</v>
      </c>
    </row>
    <row r="42" spans="2:15" ht="27.6" x14ac:dyDescent="0.3">
      <c r="B42" s="21">
        <v>21</v>
      </c>
      <c r="C42" s="22" t="s">
        <v>110</v>
      </c>
      <c r="D42" s="23" t="s">
        <v>111</v>
      </c>
      <c r="E42" s="23" t="s">
        <v>112</v>
      </c>
      <c r="F42" s="24">
        <v>0.4</v>
      </c>
      <c r="G42" s="25">
        <v>1</v>
      </c>
      <c r="H42" s="26">
        <f>F42 * G42 * 1430.530826</f>
        <v>572.21233040000004</v>
      </c>
      <c r="I42" s="26">
        <f>F42 * G42 * 309.992824</f>
        <v>123.99712959999999</v>
      </c>
      <c r="J42" s="26">
        <f>F42 * G42 * 0</f>
        <v>0</v>
      </c>
      <c r="K42" s="26">
        <f>F42 * G42 * 1362.151453</f>
        <v>544.86058119999996</v>
      </c>
      <c r="L42" s="26">
        <f>F42 * G42 * 357.516423</f>
        <v>143.0065692</v>
      </c>
      <c r="M42" s="26">
        <f>F42 * G42 * 286.106165</f>
        <v>114.442466</v>
      </c>
      <c r="N42" s="27">
        <f t="shared" si="2"/>
        <v>1498.5190764000001</v>
      </c>
      <c r="O42" s="28">
        <f>IF(O3&gt;0,N42/O3/12,0)</f>
        <v>3.0801023530572482E-2</v>
      </c>
    </row>
    <row r="43" spans="2:15" x14ac:dyDescent="0.3">
      <c r="B43" s="21">
        <v>22</v>
      </c>
      <c r="C43" s="22" t="s">
        <v>113</v>
      </c>
      <c r="D43" s="23" t="s">
        <v>114</v>
      </c>
      <c r="E43" s="23" t="s">
        <v>115</v>
      </c>
      <c r="F43" s="24">
        <v>10</v>
      </c>
      <c r="G43" s="25">
        <v>1</v>
      </c>
      <c r="H43" s="26">
        <f>F43 * G43 * 14.078579</f>
        <v>140.78578999999999</v>
      </c>
      <c r="I43" s="26">
        <f>F43 * G43 * 0.9775</f>
        <v>9.7750000000000004</v>
      </c>
      <c r="J43" s="26">
        <f>F43 * G43 * 0</f>
        <v>0</v>
      </c>
      <c r="K43" s="26">
        <f>F43 * G43 * 13.4056229999999</f>
        <v>134.056229999999</v>
      </c>
      <c r="L43" s="26">
        <f>F43 * G43 * 3.299767</f>
        <v>32.997669999999999</v>
      </c>
      <c r="M43" s="26">
        <f>F43 * G43 * 2.815716</f>
        <v>28.157160000000001</v>
      </c>
      <c r="N43" s="27">
        <f t="shared" si="2"/>
        <v>345.77184999999895</v>
      </c>
      <c r="O43" s="28">
        <f>IF(O3&gt;0,N43/O3/12,0)</f>
        <v>7.1071013080761768E-3</v>
      </c>
    </row>
    <row r="44" spans="2:15" x14ac:dyDescent="0.3">
      <c r="B44" s="21">
        <v>23</v>
      </c>
      <c r="C44" s="22" t="s">
        <v>116</v>
      </c>
      <c r="D44" s="23" t="s">
        <v>117</v>
      </c>
      <c r="E44" s="23" t="s">
        <v>118</v>
      </c>
      <c r="F44" s="24">
        <v>2</v>
      </c>
      <c r="G44" s="25">
        <v>1</v>
      </c>
      <c r="H44" s="26">
        <f>F44 * G44 * 124.509165</f>
        <v>249.01832999999999</v>
      </c>
      <c r="I44" s="26">
        <f>F44 * G44 * 79.691038</f>
        <v>159.38207600000001</v>
      </c>
      <c r="J44" s="26">
        <f>F44 * G44 * 0</f>
        <v>0</v>
      </c>
      <c r="K44" s="26">
        <f>F44 * G44 * 118.557627</f>
        <v>237.11525399999999</v>
      </c>
      <c r="L44" s="26">
        <f>F44 * G44 * 36.678094</f>
        <v>73.356188000000003</v>
      </c>
      <c r="M44" s="26">
        <f>F44 * G44 * 24.901833</f>
        <v>49.803666</v>
      </c>
      <c r="N44" s="27">
        <f t="shared" si="2"/>
        <v>768.67551400000002</v>
      </c>
      <c r="O44" s="28">
        <f>IF(O3&gt;0,N44/O3/12,0)</f>
        <v>1.5799593723536325E-2</v>
      </c>
    </row>
    <row r="45" spans="2:15" x14ac:dyDescent="0.3">
      <c r="B45" s="21">
        <v>24</v>
      </c>
      <c r="C45" s="22" t="s">
        <v>119</v>
      </c>
      <c r="D45" s="23" t="s">
        <v>120</v>
      </c>
      <c r="E45" s="23" t="s">
        <v>121</v>
      </c>
      <c r="F45" s="24">
        <v>2</v>
      </c>
      <c r="G45" s="25">
        <v>0.2</v>
      </c>
      <c r="H45" s="26">
        <f>F45 * G45 * 35.196448</f>
        <v>14.0785792</v>
      </c>
      <c r="I45" s="26">
        <f>F45 * G45 * 96.759276</f>
        <v>38.703710400000006</v>
      </c>
      <c r="J45" s="26">
        <f>F45 * G45 * 0</f>
        <v>0</v>
      </c>
      <c r="K45" s="26">
        <f>F45 * G45 * 33.514058</f>
        <v>13.405623200000001</v>
      </c>
      <c r="L45" s="26">
        <f>F45 * G45 * 18.199707</f>
        <v>7.2798828000000002</v>
      </c>
      <c r="M45" s="26">
        <f>F45 * G45 * 7.03929</f>
        <v>2.8157160000000001</v>
      </c>
      <c r="N45" s="27">
        <f t="shared" si="2"/>
        <v>76.283511599999997</v>
      </c>
      <c r="O45" s="28">
        <f>IF(O3&gt;0,N45/O3/12,0)</f>
        <v>1.5679548380731568E-3</v>
      </c>
    </row>
    <row r="46" spans="2:15" x14ac:dyDescent="0.3">
      <c r="B46" s="21">
        <v>25</v>
      </c>
      <c r="C46" s="22" t="s">
        <v>122</v>
      </c>
      <c r="D46" s="23" t="s">
        <v>123</v>
      </c>
      <c r="E46" s="23" t="s">
        <v>124</v>
      </c>
      <c r="F46" s="24">
        <v>4.8000000000000001E-2</v>
      </c>
      <c r="G46" s="25">
        <v>0.2</v>
      </c>
      <c r="H46" s="26">
        <f>F46 * G46 * 16785.08496</f>
        <v>161.13681561600001</v>
      </c>
      <c r="I46" s="26">
        <f>F46 * G46 * 2798.124701</f>
        <v>26.861997129600006</v>
      </c>
      <c r="J46" s="26">
        <f>F46 * G46 * 0</f>
        <v>0</v>
      </c>
      <c r="K46" s="26">
        <f>F46 * G46 * 15982.757899</f>
        <v>153.4344758304</v>
      </c>
      <c r="L46" s="26">
        <f>F46 * G46 * 4106.37487</f>
        <v>39.421198752000002</v>
      </c>
      <c r="M46" s="26">
        <f>F46 * G46 * 3357.016992</f>
        <v>32.2273631232</v>
      </c>
      <c r="N46" s="27">
        <f t="shared" si="2"/>
        <v>413.08185045120001</v>
      </c>
      <c r="O46" s="28">
        <f>IF(O3&gt;0,N46/O3/12,0)</f>
        <v>8.4906118288237183E-3</v>
      </c>
    </row>
    <row r="47" spans="2:15" s="15" customFormat="1" ht="14.4" x14ac:dyDescent="0.3">
      <c r="B47" s="16"/>
      <c r="C47" s="17" t="s">
        <v>125</v>
      </c>
      <c r="D47" s="35" t="s">
        <v>126</v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</row>
    <row r="48" spans="2:15" s="18" customFormat="1" ht="13.8" x14ac:dyDescent="0.3">
      <c r="B48" s="19"/>
      <c r="C48" s="20" t="s">
        <v>127</v>
      </c>
      <c r="D48" s="32" t="s">
        <v>128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2:15" ht="27.6" x14ac:dyDescent="0.3">
      <c r="B49" s="21">
        <v>26</v>
      </c>
      <c r="C49" s="22" t="s">
        <v>129</v>
      </c>
      <c r="D49" s="23" t="s">
        <v>130</v>
      </c>
      <c r="E49" s="23" t="s">
        <v>131</v>
      </c>
      <c r="F49" s="24">
        <v>0.1</v>
      </c>
      <c r="G49" s="25">
        <v>1</v>
      </c>
      <c r="H49" s="26">
        <f>F49 * G49 * 19560.767035</f>
        <v>1956.0767035000001</v>
      </c>
      <c r="I49" s="26">
        <f>F49 * G49 * 1916.323999</f>
        <v>191.6323999</v>
      </c>
      <c r="J49" s="26">
        <f>F49 * G49 * 0</f>
        <v>0</v>
      </c>
      <c r="K49" s="26">
        <f>F49 * G49 * 18625.762371</f>
        <v>1862.5762371000001</v>
      </c>
      <c r="L49" s="26">
        <f>F49 * G49 * 4643.583219</f>
        <v>464.35832190000002</v>
      </c>
      <c r="M49" s="26">
        <f>F49 * G49 * 3912.153407</f>
        <v>391.21534070000001</v>
      </c>
      <c r="N49" s="27">
        <f>SUM(H49:M49)</f>
        <v>4865.8590030999994</v>
      </c>
      <c r="O49" s="28">
        <f>IF(O3&gt;0,N49/O3/12,0)</f>
        <v>0.10001436752542565</v>
      </c>
    </row>
    <row r="50" spans="2:15" s="15" customFormat="1" ht="14.4" x14ac:dyDescent="0.3">
      <c r="B50" s="16"/>
      <c r="C50" s="17" t="s">
        <v>132</v>
      </c>
      <c r="D50" s="35" t="s">
        <v>133</v>
      </c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</row>
    <row r="51" spans="2:15" s="18" customFormat="1" ht="13.8" x14ac:dyDescent="0.3">
      <c r="B51" s="19"/>
      <c r="C51" s="20" t="s">
        <v>134</v>
      </c>
      <c r="D51" s="32" t="s">
        <v>135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</row>
    <row r="52" spans="2:15" s="18" customFormat="1" ht="13.8" x14ac:dyDescent="0.3">
      <c r="B52" s="19"/>
      <c r="C52" s="20" t="s">
        <v>136</v>
      </c>
      <c r="D52" s="33" t="s">
        <v>137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2:15" ht="41.4" x14ac:dyDescent="0.3">
      <c r="B53" s="21">
        <v>27</v>
      </c>
      <c r="C53" s="22" t="s">
        <v>138</v>
      </c>
      <c r="D53" s="23" t="s">
        <v>139</v>
      </c>
      <c r="E53" s="23" t="s">
        <v>140</v>
      </c>
      <c r="F53" s="24">
        <v>0.03</v>
      </c>
      <c r="G53" s="25">
        <v>1</v>
      </c>
      <c r="H53" s="26">
        <f>F53 * G53 * 21820.610448</f>
        <v>654.61831343999995</v>
      </c>
      <c r="I53" s="26">
        <f>F53 * G53 * 15799.044839</f>
        <v>473.97134517000001</v>
      </c>
      <c r="J53" s="26">
        <f>F53 * G53 * 0</f>
        <v>0</v>
      </c>
      <c r="K53" s="26">
        <f>F53 * G53 * 20777.585268</f>
        <v>623.32755803999999</v>
      </c>
      <c r="L53" s="26">
        <f>F53 * G53 * 6621.323759</f>
        <v>198.63971276999999</v>
      </c>
      <c r="M53" s="26">
        <f>F53 * G53 * 4364.12209</f>
        <v>130.92366269999999</v>
      </c>
      <c r="N53" s="27">
        <f>SUM(H53:M53)</f>
        <v>2081.48059212</v>
      </c>
      <c r="O53" s="28">
        <f>IF(O3&gt;0,N53/O3/12,0)</f>
        <v>4.2783394423204994E-2</v>
      </c>
    </row>
    <row r="54" spans="2:15" s="18" customFormat="1" ht="13.8" x14ac:dyDescent="0.3">
      <c r="B54" s="19"/>
      <c r="C54" s="20" t="s">
        <v>141</v>
      </c>
      <c r="D54" s="32" t="s">
        <v>142</v>
      </c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</row>
    <row r="55" spans="2:15" s="18" customFormat="1" ht="13.8" x14ac:dyDescent="0.3">
      <c r="B55" s="19"/>
      <c r="C55" s="20" t="s">
        <v>143</v>
      </c>
      <c r="D55" s="33" t="s">
        <v>144</v>
      </c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2:15" ht="27.6" x14ac:dyDescent="0.3">
      <c r="B56" s="21">
        <v>28</v>
      </c>
      <c r="C56" s="22" t="s">
        <v>145</v>
      </c>
      <c r="D56" s="23" t="s">
        <v>146</v>
      </c>
      <c r="E56" s="23" t="s">
        <v>147</v>
      </c>
      <c r="F56" s="24">
        <v>0.1</v>
      </c>
      <c r="G56" s="25">
        <v>1</v>
      </c>
      <c r="H56" s="26">
        <f>F56 * G56 * 68421.894134</f>
        <v>6842.1894134000004</v>
      </c>
      <c r="I56" s="26">
        <f>F56 * G56 * 2436.11622</f>
        <v>243.61162200000001</v>
      </c>
      <c r="J56" s="26">
        <f>F56 * G56 * 0</f>
        <v>0</v>
      </c>
      <c r="K56" s="26">
        <f>F56 * G56 * 65151.327594</f>
        <v>6515.1327594000004</v>
      </c>
      <c r="L56" s="26">
        <f>F56 * G56 * 15792.68712</f>
        <v>1579.2687120000001</v>
      </c>
      <c r="M56" s="26">
        <f>F56 * G56 * 13684.378827</f>
        <v>1368.4378827</v>
      </c>
      <c r="N56" s="27">
        <f>SUM(H56:M56)</f>
        <v>16548.6403895</v>
      </c>
      <c r="O56" s="28">
        <f>IF(O3&gt;0,N56/O3/12,0)</f>
        <v>0.34014586137968744</v>
      </c>
    </row>
    <row r="57" spans="2:15" s="18" customFormat="1" ht="13.8" x14ac:dyDescent="0.3">
      <c r="B57" s="19"/>
      <c r="C57" s="20" t="s">
        <v>148</v>
      </c>
      <c r="D57" s="32" t="s">
        <v>149</v>
      </c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</row>
    <row r="58" spans="2:15" x14ac:dyDescent="0.3">
      <c r="B58" s="21">
        <v>29</v>
      </c>
      <c r="C58" s="22" t="s">
        <v>150</v>
      </c>
      <c r="D58" s="23" t="s">
        <v>151</v>
      </c>
      <c r="E58" s="23" t="s">
        <v>152</v>
      </c>
      <c r="F58" s="24">
        <v>1</v>
      </c>
      <c r="G58" s="25">
        <v>0.3</v>
      </c>
      <c r="H58" s="26">
        <f>F58 * G58 * 670.230183</f>
        <v>201.0690549</v>
      </c>
      <c r="I58" s="26">
        <f>F58 * G58 * 116953</f>
        <v>35085.9</v>
      </c>
      <c r="J58" s="26">
        <f>F58 * G58 * 0</f>
        <v>0</v>
      </c>
      <c r="K58" s="26">
        <f>F58 * G58 * 638.19318</f>
        <v>191.457954</v>
      </c>
      <c r="L58" s="26">
        <f>F58 * G58 * 12490.722022</f>
        <v>3747.2166066</v>
      </c>
      <c r="M58" s="26">
        <f>F58 * G58 * 134.046037</f>
        <v>40.213811100000001</v>
      </c>
      <c r="N58" s="27">
        <f>SUM(H58:M58)</f>
        <v>39265.8574266</v>
      </c>
      <c r="O58" s="28">
        <f>IF(O3&gt;0,N58/O3/12,0)</f>
        <v>0.80708255076092039</v>
      </c>
    </row>
    <row r="59" spans="2:15" s="18" customFormat="1" ht="13.8" x14ac:dyDescent="0.3">
      <c r="B59" s="19"/>
      <c r="C59" s="20" t="s">
        <v>153</v>
      </c>
      <c r="D59" s="32" t="s">
        <v>154</v>
      </c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</row>
    <row r="60" spans="2:15" s="18" customFormat="1" ht="13.8" x14ac:dyDescent="0.3">
      <c r="B60" s="19"/>
      <c r="C60" s="20" t="s">
        <v>155</v>
      </c>
      <c r="D60" s="33" t="s">
        <v>156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2:15" x14ac:dyDescent="0.3">
      <c r="B61" s="21">
        <v>30</v>
      </c>
      <c r="C61" s="22" t="s">
        <v>157</v>
      </c>
      <c r="D61" s="23" t="s">
        <v>158</v>
      </c>
      <c r="E61" s="23" t="s">
        <v>159</v>
      </c>
      <c r="F61" s="24">
        <v>0.1</v>
      </c>
      <c r="G61" s="25">
        <v>1</v>
      </c>
      <c r="H61" s="26">
        <f>F61 * G61 * 14487.1269</f>
        <v>1448.7126900000001</v>
      </c>
      <c r="I61" s="26">
        <f>F61 * G61 * 25804.206401</f>
        <v>2580.4206401000001</v>
      </c>
      <c r="J61" s="26">
        <f>F61 * G61 * 0</f>
        <v>0</v>
      </c>
      <c r="K61" s="26">
        <f>F61 * G61 * 13794.6422339999</f>
        <v>1379.4642233999903</v>
      </c>
      <c r="L61" s="26">
        <f>F61 * G61 * 6011.748797</f>
        <v>601.17487970000002</v>
      </c>
      <c r="M61" s="26">
        <f>F61 * G61 * 2897.42538</f>
        <v>289.74253800000002</v>
      </c>
      <c r="N61" s="27">
        <f>SUM(H61:M61)</f>
        <v>6299.5149711999911</v>
      </c>
      <c r="O61" s="28">
        <f>IF(O3&gt;0,N61/O3/12,0)</f>
        <v>0.12948217471162285</v>
      </c>
    </row>
    <row r="62" spans="2:15" s="18" customFormat="1" ht="13.8" x14ac:dyDescent="0.3">
      <c r="B62" s="19"/>
      <c r="C62" s="20" t="s">
        <v>160</v>
      </c>
      <c r="D62" s="33" t="s">
        <v>161</v>
      </c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</row>
    <row r="63" spans="2:15" ht="27.6" x14ac:dyDescent="0.3">
      <c r="B63" s="21">
        <v>31</v>
      </c>
      <c r="C63" s="22" t="s">
        <v>162</v>
      </c>
      <c r="D63" s="23" t="s">
        <v>163</v>
      </c>
      <c r="E63" s="23" t="s">
        <v>159</v>
      </c>
      <c r="F63" s="24">
        <v>0.02</v>
      </c>
      <c r="G63" s="25">
        <v>1</v>
      </c>
      <c r="H63" s="26">
        <f>F63 * G63 * 27475.5855</f>
        <v>549.51170999999999</v>
      </c>
      <c r="I63" s="26">
        <f>F63 * G63 * 38342.51368</f>
        <v>766.85027359999992</v>
      </c>
      <c r="J63" s="26">
        <f>F63 * G63 * 0</f>
        <v>0</v>
      </c>
      <c r="K63" s="26">
        <f>F63 * G63 * 26162.252513</f>
        <v>523.24505025999997</v>
      </c>
      <c r="L63" s="26">
        <f>F63 * G63 * 10283.661958</f>
        <v>205.67323916000001</v>
      </c>
      <c r="M63" s="26">
        <f>F63 * G63 * 5495.1171</f>
        <v>109.902342</v>
      </c>
      <c r="N63" s="27">
        <f>SUM(H63:M63)</f>
        <v>2155.18261502</v>
      </c>
      <c r="O63" s="28">
        <f>IF(O3&gt;0,N63/O3/12,0)</f>
        <v>4.4298288545905985E-2</v>
      </c>
    </row>
    <row r="64" spans="2:15" s="18" customFormat="1" ht="13.8" x14ac:dyDescent="0.3">
      <c r="B64" s="19"/>
      <c r="C64" s="20" t="s">
        <v>164</v>
      </c>
      <c r="D64" s="32" t="s">
        <v>165</v>
      </c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</row>
    <row r="65" spans="2:15" s="18" customFormat="1" ht="13.8" x14ac:dyDescent="0.3">
      <c r="B65" s="19"/>
      <c r="C65" s="20" t="s">
        <v>166</v>
      </c>
      <c r="D65" s="33" t="s">
        <v>167</v>
      </c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</row>
    <row r="66" spans="2:15" ht="27.6" x14ac:dyDescent="0.3">
      <c r="B66" s="21">
        <v>32</v>
      </c>
      <c r="C66" s="22" t="s">
        <v>168</v>
      </c>
      <c r="D66" s="23" t="s">
        <v>169</v>
      </c>
      <c r="E66" s="23" t="s">
        <v>170</v>
      </c>
      <c r="F66" s="24">
        <v>5</v>
      </c>
      <c r="G66" s="25">
        <v>1</v>
      </c>
      <c r="H66" s="26">
        <f>F66 * G66 * 100.666984</f>
        <v>503.33492000000001</v>
      </c>
      <c r="I66" s="26">
        <f>F66 * G66 * 2222.16</f>
        <v>11110.8</v>
      </c>
      <c r="J66" s="26">
        <f>F66 * G66 * 0</f>
        <v>0</v>
      </c>
      <c r="K66" s="26">
        <f>F66 * G66 * 95.8551029999999</f>
        <v>479.27551499999947</v>
      </c>
      <c r="L66" s="26">
        <f>F66 * G66 * 257.295033</f>
        <v>1286.4751649999998</v>
      </c>
      <c r="M66" s="26">
        <f>F66 * G66 * 20.133397</f>
        <v>100.666985</v>
      </c>
      <c r="N66" s="27">
        <f>SUM(H66:M66)</f>
        <v>13480.552584999998</v>
      </c>
      <c r="O66" s="28">
        <f>IF(O3&gt;0,N66/O3/12,0)</f>
        <v>0.27708343785199246</v>
      </c>
    </row>
    <row r="67" spans="2:15" s="15" customFormat="1" ht="14.4" x14ac:dyDescent="0.3">
      <c r="B67" s="16"/>
      <c r="C67" s="17" t="s">
        <v>171</v>
      </c>
      <c r="D67" s="35" t="s">
        <v>172</v>
      </c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2:15" s="18" customFormat="1" ht="13.8" x14ac:dyDescent="0.3">
      <c r="B68" s="19"/>
      <c r="C68" s="20" t="s">
        <v>173</v>
      </c>
      <c r="D68" s="32" t="s">
        <v>174</v>
      </c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</row>
    <row r="69" spans="2:15" s="18" customFormat="1" ht="13.8" x14ac:dyDescent="0.3">
      <c r="B69" s="19"/>
      <c r="C69" s="20" t="s">
        <v>175</v>
      </c>
      <c r="D69" s="33" t="s">
        <v>176</v>
      </c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</row>
    <row r="70" spans="2:15" ht="27.6" x14ac:dyDescent="0.3">
      <c r="B70" s="21">
        <v>33</v>
      </c>
      <c r="C70" s="22" t="s">
        <v>177</v>
      </c>
      <c r="D70" s="23" t="s">
        <v>178</v>
      </c>
      <c r="E70" s="23" t="s">
        <v>179</v>
      </c>
      <c r="F70" s="24">
        <v>2</v>
      </c>
      <c r="G70" s="25">
        <v>12</v>
      </c>
      <c r="H70" s="26">
        <f>F70 * G70 * 222.527017</f>
        <v>5340.648408</v>
      </c>
      <c r="I70" s="26">
        <f>F70 * G70 * 0</f>
        <v>0</v>
      </c>
      <c r="J70" s="26">
        <f>F70 * G70 * 0</f>
        <v>0</v>
      </c>
      <c r="K70" s="26">
        <f>F70 * G70 * 211.890225999999</f>
        <v>5085.365423999976</v>
      </c>
      <c r="L70" s="26">
        <f>F70 * G70 * 50.526339</f>
        <v>1212.6321359999999</v>
      </c>
      <c r="M70" s="26">
        <f>F70 * G70 * 44.505403</f>
        <v>1068.129672</v>
      </c>
      <c r="N70" s="27">
        <f>SUM(H70:M70)</f>
        <v>12706.775639999974</v>
      </c>
      <c r="O70" s="28">
        <f>IF(O3&gt;0,N70/O3/12,0)</f>
        <v>0.26117898774140985</v>
      </c>
    </row>
    <row r="71" spans="2:15" ht="41.4" x14ac:dyDescent="0.3">
      <c r="B71" s="21">
        <v>34</v>
      </c>
      <c r="C71" s="22" t="s">
        <v>180</v>
      </c>
      <c r="D71" s="23" t="s">
        <v>181</v>
      </c>
      <c r="E71" s="23" t="s">
        <v>182</v>
      </c>
      <c r="F71" s="24">
        <v>3</v>
      </c>
      <c r="G71" s="25">
        <v>12</v>
      </c>
      <c r="H71" s="26">
        <f>F71 * G71 * 246.369198</f>
        <v>8869.2911280000008</v>
      </c>
      <c r="I71" s="26">
        <f>F71 * G71 * 0</f>
        <v>0</v>
      </c>
      <c r="J71" s="26">
        <f>F71 * G71 * 0</f>
        <v>0</v>
      </c>
      <c r="K71" s="26">
        <f>F71 * G71 * 234.592751</f>
        <v>8445.3390359999994</v>
      </c>
      <c r="L71" s="26">
        <f>F71 * G71 * 55.939876</f>
        <v>2013.835536</v>
      </c>
      <c r="M71" s="26">
        <f>F71 * G71 * 49.27384</f>
        <v>1773.85824</v>
      </c>
      <c r="N71" s="27">
        <f>SUM(H71:M71)</f>
        <v>21102.323940000002</v>
      </c>
      <c r="O71" s="28">
        <f>IF(O3&gt;0,N71/O3/12,0)</f>
        <v>0.43374367831684885</v>
      </c>
    </row>
    <row r="72" spans="2:15" ht="27.6" x14ac:dyDescent="0.3">
      <c r="B72" s="21">
        <v>35</v>
      </c>
      <c r="C72" s="22" t="s">
        <v>183</v>
      </c>
      <c r="D72" s="23" t="s">
        <v>184</v>
      </c>
      <c r="E72" s="23" t="s">
        <v>185</v>
      </c>
      <c r="F72" s="24">
        <v>3</v>
      </c>
      <c r="G72" s="25">
        <v>1</v>
      </c>
      <c r="H72" s="26">
        <f>F72 * G72 * 2768.342062</f>
        <v>8305.026186000001</v>
      </c>
      <c r="I72" s="26">
        <f>F72 * G72 * 0</f>
        <v>0</v>
      </c>
      <c r="J72" s="26">
        <f>F72 * G72 * 0</f>
        <v>0</v>
      </c>
      <c r="K72" s="26">
        <f>F72 * G72 * 2636.015311</f>
        <v>7908.0459330000003</v>
      </c>
      <c r="L72" s="26">
        <f>F72 * G72 * 628.57172</f>
        <v>1885.7151600000002</v>
      </c>
      <c r="M72" s="26">
        <f>F72 * G72 * 553.668412</f>
        <v>1661.005236</v>
      </c>
      <c r="N72" s="27">
        <f>SUM(H72:M72)</f>
        <v>19759.792515000001</v>
      </c>
      <c r="O72" s="28">
        <f>IF(O3&gt;0,N72/O3/12,0)</f>
        <v>0.40614887311003134</v>
      </c>
    </row>
    <row r="73" spans="2:15" s="18" customFormat="1" ht="13.8" x14ac:dyDescent="0.3">
      <c r="B73" s="19"/>
      <c r="C73" s="20" t="s">
        <v>186</v>
      </c>
      <c r="D73" s="33" t="s">
        <v>187</v>
      </c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</row>
    <row r="74" spans="2:15" x14ac:dyDescent="0.3">
      <c r="B74" s="21">
        <v>36</v>
      </c>
      <c r="C74" s="22" t="s">
        <v>188</v>
      </c>
      <c r="D74" s="23" t="s">
        <v>189</v>
      </c>
      <c r="E74" s="23" t="s">
        <v>190</v>
      </c>
      <c r="F74" s="24">
        <v>1</v>
      </c>
      <c r="G74" s="25">
        <v>0.2</v>
      </c>
      <c r="H74" s="26">
        <f>F74 * G74 * 1820.720742</f>
        <v>364.14414840000001</v>
      </c>
      <c r="I74" s="26">
        <f>F74 * G74 * 8879.8886</f>
        <v>1775.9777200000001</v>
      </c>
      <c r="J74" s="26">
        <f>F74 * G74 * 0</f>
        <v>0</v>
      </c>
      <c r="K74" s="26">
        <f>F74 * G74 * 1733.69029</f>
        <v>346.73805800000002</v>
      </c>
      <c r="L74" s="26">
        <f>F74 * G74 * 1350.235819</f>
        <v>270.04716380000002</v>
      </c>
      <c r="M74" s="26">
        <f>F74 * G74 * 364.144148</f>
        <v>72.828829599999992</v>
      </c>
      <c r="N74" s="27">
        <f>SUM(H74:M74)</f>
        <v>2829.7359197999999</v>
      </c>
      <c r="O74" s="28">
        <f>IF(O3&gt;0,N74/O3/12,0)</f>
        <v>5.816326533556964E-2</v>
      </c>
    </row>
    <row r="75" spans="2:15" s="18" customFormat="1" ht="13.8" x14ac:dyDescent="0.3">
      <c r="B75" s="19"/>
      <c r="C75" s="20" t="s">
        <v>191</v>
      </c>
      <c r="D75" s="32" t="s">
        <v>192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</row>
    <row r="76" spans="2:15" x14ac:dyDescent="0.3">
      <c r="B76" s="21">
        <v>37</v>
      </c>
      <c r="C76" s="22" t="s">
        <v>193</v>
      </c>
      <c r="D76" s="23" t="s">
        <v>194</v>
      </c>
      <c r="E76" s="23" t="s">
        <v>38</v>
      </c>
      <c r="F76" s="24">
        <v>0.01</v>
      </c>
      <c r="G76" s="25">
        <v>0.2</v>
      </c>
      <c r="H76" s="26">
        <f>F76 * G76 * 105406.3371</f>
        <v>210.8126742</v>
      </c>
      <c r="I76" s="26">
        <f>F76 * G76 * 680154.927586</f>
        <v>1360.309855172</v>
      </c>
      <c r="J76" s="26">
        <f>F76 * G76 * 0</f>
        <v>0</v>
      </c>
      <c r="K76" s="26">
        <f>F76 * G76 * 100367.914186999</f>
        <v>200.735828373998</v>
      </c>
      <c r="L76" s="26">
        <f>F76 * G76 * 95689.6020829999</f>
        <v>191.37920416599982</v>
      </c>
      <c r="M76" s="26">
        <f>F76 * G76 * 21081.26742</f>
        <v>42.162534839999999</v>
      </c>
      <c r="N76" s="27">
        <f>SUM(H76:M76)</f>
        <v>2005.4000967519978</v>
      </c>
      <c r="O76" s="28">
        <f>IF(O3&gt;0,N76/O3/12,0)</f>
        <v>4.121961244341394E-2</v>
      </c>
    </row>
    <row r="77" spans="2:15" s="15" customFormat="1" ht="14.4" x14ac:dyDescent="0.3">
      <c r="B77" s="16"/>
      <c r="C77" s="17" t="s">
        <v>195</v>
      </c>
      <c r="D77" s="35" t="s">
        <v>196</v>
      </c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</row>
    <row r="78" spans="2:15" s="18" customFormat="1" ht="13.8" x14ac:dyDescent="0.3">
      <c r="B78" s="19"/>
      <c r="C78" s="20" t="s">
        <v>197</v>
      </c>
      <c r="D78" s="32" t="s">
        <v>198</v>
      </c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</row>
    <row r="79" spans="2:15" ht="41.4" x14ac:dyDescent="0.3">
      <c r="B79" s="21">
        <v>38</v>
      </c>
      <c r="C79" s="22" t="s">
        <v>199</v>
      </c>
      <c r="D79" s="23" t="s">
        <v>200</v>
      </c>
      <c r="E79" s="23" t="s">
        <v>201</v>
      </c>
      <c r="F79" s="24">
        <v>0.2</v>
      </c>
      <c r="G79" s="25">
        <v>0.2</v>
      </c>
      <c r="H79" s="26">
        <f>F79 * G79 * 16704.28547</f>
        <v>668.17141880000008</v>
      </c>
      <c r="I79" s="26">
        <f>F79 * G79 * 56506.154294</f>
        <v>2260.2461717600004</v>
      </c>
      <c r="J79" s="26">
        <f>F79 * G79 * 0</f>
        <v>0</v>
      </c>
      <c r="K79" s="26">
        <f>F79 * G79 * 15905.820624</f>
        <v>636.23282496000013</v>
      </c>
      <c r="L79" s="26">
        <f>F79 * G79 * 9754.225894</f>
        <v>390.16903576000004</v>
      </c>
      <c r="M79" s="26">
        <f>F79 * G79 * 3340.857094</f>
        <v>133.63428376000002</v>
      </c>
      <c r="N79" s="27">
        <f>SUM(H79:M79)</f>
        <v>4088.4537350400005</v>
      </c>
      <c r="O79" s="28">
        <f>IF(O3&gt;0,N79/O3/12,0)</f>
        <v>8.4035339742988935E-2</v>
      </c>
    </row>
    <row r="80" spans="2:15" s="18" customFormat="1" ht="13.8" x14ac:dyDescent="0.3">
      <c r="B80" s="19"/>
      <c r="C80" s="20" t="s">
        <v>202</v>
      </c>
      <c r="D80" s="32" t="s">
        <v>203</v>
      </c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</row>
    <row r="81" spans="2:15" ht="41.4" x14ac:dyDescent="0.3">
      <c r="B81" s="21">
        <v>39</v>
      </c>
      <c r="C81" s="22" t="s">
        <v>204</v>
      </c>
      <c r="D81" s="23" t="s">
        <v>205</v>
      </c>
      <c r="E81" s="23" t="s">
        <v>201</v>
      </c>
      <c r="F81" s="24">
        <v>0.1</v>
      </c>
      <c r="G81" s="25">
        <v>0.2</v>
      </c>
      <c r="H81" s="26">
        <f>F81 * G81 * 63012.126936</f>
        <v>1260.2425387200003</v>
      </c>
      <c r="I81" s="26">
        <f>F81 * G81 * 272220.807805</f>
        <v>5444.416156100001</v>
      </c>
      <c r="J81" s="26">
        <f>F81 * G81 * 0</f>
        <v>0</v>
      </c>
      <c r="K81" s="26">
        <f>F81 * G81 * 60000.147268</f>
        <v>1200.0029453600002</v>
      </c>
      <c r="L81" s="26">
        <f>F81 * G81 * 43026.64603</f>
        <v>860.53292060000024</v>
      </c>
      <c r="M81" s="26">
        <f>F81 * G81 * 12602.425387</f>
        <v>252.04850774000005</v>
      </c>
      <c r="N81" s="27">
        <f>SUM(H81:M81)</f>
        <v>9017.2430685200015</v>
      </c>
      <c r="O81" s="28">
        <f>IF(O3&gt;0,N81/O3/12,0)</f>
        <v>0.18534319669897806</v>
      </c>
    </row>
    <row r="82" spans="2:15" s="18" customFormat="1" ht="13.8" x14ac:dyDescent="0.3">
      <c r="B82" s="19"/>
      <c r="C82" s="20" t="s">
        <v>206</v>
      </c>
      <c r="D82" s="32" t="s">
        <v>207</v>
      </c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</row>
    <row r="83" spans="2:15" s="18" customFormat="1" ht="13.8" x14ac:dyDescent="0.3">
      <c r="B83" s="19"/>
      <c r="C83" s="20" t="s">
        <v>208</v>
      </c>
      <c r="D83" s="33" t="s">
        <v>209</v>
      </c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</row>
    <row r="84" spans="2:15" ht="27.6" x14ac:dyDescent="0.3">
      <c r="B84" s="21">
        <v>40</v>
      </c>
      <c r="C84" s="22" t="s">
        <v>210</v>
      </c>
      <c r="D84" s="23" t="s">
        <v>211</v>
      </c>
      <c r="E84" s="23" t="s">
        <v>212</v>
      </c>
      <c r="F84" s="24">
        <v>0.04</v>
      </c>
      <c r="G84" s="25">
        <v>1</v>
      </c>
      <c r="H84" s="26">
        <f>F84 * G84 * 13609.293072</f>
        <v>544.37172287999999</v>
      </c>
      <c r="I84" s="26">
        <f>F84 * G84 * 3488.120894</f>
        <v>139.52483576</v>
      </c>
      <c r="J84" s="26">
        <f>F84 * G84 * 0</f>
        <v>0</v>
      </c>
      <c r="K84" s="26">
        <f>F84 * G84 * 12958.768863</f>
        <v>518.35075452000001</v>
      </c>
      <c r="L84" s="26">
        <f>F84 * G84 * 3458.083372</f>
        <v>138.32333488</v>
      </c>
      <c r="M84" s="26">
        <f>F84 * G84 * 2721.858614</f>
        <v>108.87434456000001</v>
      </c>
      <c r="N84" s="27">
        <f>SUM(H84:M84)</f>
        <v>1449.4449926</v>
      </c>
      <c r="O84" s="28">
        <f>IF(O3&gt;0,N84/O3/12,0)</f>
        <v>2.9792339668171242E-2</v>
      </c>
    </row>
    <row r="85" spans="2:15" ht="27.6" x14ac:dyDescent="0.3">
      <c r="B85" s="21">
        <v>41</v>
      </c>
      <c r="C85" s="22" t="s">
        <v>213</v>
      </c>
      <c r="D85" s="23" t="s">
        <v>214</v>
      </c>
      <c r="E85" s="23" t="s">
        <v>215</v>
      </c>
      <c r="F85" s="24">
        <v>1</v>
      </c>
      <c r="G85" s="25">
        <v>1</v>
      </c>
      <c r="H85" s="26">
        <f>F85 * G85 * 2369.894138</f>
        <v>2369.8941380000001</v>
      </c>
      <c r="I85" s="26">
        <f>F85 * G85 * 1024.072096</f>
        <v>1024.0720960000001</v>
      </c>
      <c r="J85" s="26">
        <f>F85 * G85 * 0</f>
        <v>0</v>
      </c>
      <c r="K85" s="26">
        <f>F85 * G85 * 2256.613199</f>
        <v>2256.6131989999999</v>
      </c>
      <c r="L85" s="26">
        <f>F85 * G85 * 646.140896</f>
        <v>646.140896</v>
      </c>
      <c r="M85" s="26">
        <f>F85 * G85 * 473.978828</f>
        <v>473.97882800000002</v>
      </c>
      <c r="N85" s="27">
        <f>SUM(H85:M85)</f>
        <v>6770.6991570000009</v>
      </c>
      <c r="O85" s="28">
        <f>IF(O3&gt;0,N85/O3/12,0)</f>
        <v>0.13916703987124782</v>
      </c>
    </row>
    <row r="86" spans="2:15" ht="27.6" x14ac:dyDescent="0.3">
      <c r="B86" s="21">
        <v>42</v>
      </c>
      <c r="C86" s="22" t="s">
        <v>216</v>
      </c>
      <c r="D86" s="23" t="s">
        <v>217</v>
      </c>
      <c r="E86" s="23" t="s">
        <v>218</v>
      </c>
      <c r="F86" s="24">
        <v>0.05</v>
      </c>
      <c r="G86" s="25">
        <v>1</v>
      </c>
      <c r="H86" s="26">
        <f>F86 * G86 * 7273.932504</f>
        <v>363.69662520000003</v>
      </c>
      <c r="I86" s="26">
        <f>F86 * G86 * 64853.41812</f>
        <v>3242.6709060000003</v>
      </c>
      <c r="J86" s="26">
        <f>F86 * G86 * 0</f>
        <v>0</v>
      </c>
      <c r="K86" s="26">
        <f>F86 * G86 * 6926.238531</f>
        <v>346.31192655000001</v>
      </c>
      <c r="L86" s="26">
        <f>F86 * G86 * 8493.633631</f>
        <v>424.68168155000006</v>
      </c>
      <c r="M86" s="26">
        <f>F86 * G86 * 1454.786501</f>
        <v>72.739325050000005</v>
      </c>
      <c r="N86" s="27">
        <f>SUM(H86:M86)</f>
        <v>4450.10046435</v>
      </c>
      <c r="O86" s="28">
        <f>IF(O3&gt;0,N86/O3/12,0)</f>
        <v>9.1468738219298018E-2</v>
      </c>
    </row>
    <row r="87" spans="2:15" s="15" customFormat="1" ht="14.4" x14ac:dyDescent="0.3">
      <c r="B87" s="16"/>
      <c r="C87" s="17" t="s">
        <v>219</v>
      </c>
      <c r="D87" s="35" t="s">
        <v>220</v>
      </c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</row>
    <row r="88" spans="2:15" s="18" customFormat="1" ht="13.8" x14ac:dyDescent="0.3">
      <c r="B88" s="19"/>
      <c r="C88" s="20" t="s">
        <v>221</v>
      </c>
      <c r="D88" s="32" t="s">
        <v>222</v>
      </c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</row>
    <row r="89" spans="2:15" s="18" customFormat="1" ht="13.8" x14ac:dyDescent="0.3">
      <c r="B89" s="19"/>
      <c r="C89" s="20" t="s">
        <v>223</v>
      </c>
      <c r="D89" s="33" t="s">
        <v>224</v>
      </c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</row>
    <row r="90" spans="2:15" ht="27.6" x14ac:dyDescent="0.3">
      <c r="B90" s="21">
        <v>43</v>
      </c>
      <c r="C90" s="22" t="s">
        <v>225</v>
      </c>
      <c r="D90" s="23" t="s">
        <v>226</v>
      </c>
      <c r="E90" s="23" t="s">
        <v>227</v>
      </c>
      <c r="F90" s="24">
        <v>5.85</v>
      </c>
      <c r="G90" s="25">
        <v>1</v>
      </c>
      <c r="H90" s="26">
        <f>F90 * G90 * 1415.306731</f>
        <v>8279.5443763499989</v>
      </c>
      <c r="I90" s="26">
        <f>F90 * G90 * 629.568754</f>
        <v>3682.9772109</v>
      </c>
      <c r="J90" s="26">
        <f>F90 * G90 * 0</f>
        <v>0</v>
      </c>
      <c r="K90" s="26">
        <f>F90 * G90 * 1347.655069</f>
        <v>7883.7821536499987</v>
      </c>
      <c r="L90" s="26">
        <f>F90 * G90 * 387.774946</f>
        <v>2268.4834341000001</v>
      </c>
      <c r="M90" s="26">
        <f>F90 * G90 * 283.061346</f>
        <v>1655.9088741</v>
      </c>
      <c r="N90" s="27">
        <f>SUM(H90:M90)</f>
        <v>23770.696049099999</v>
      </c>
      <c r="O90" s="28">
        <f>IF(O3&gt;0,N90/O3/12,0)</f>
        <v>0.48859022209135977</v>
      </c>
    </row>
    <row r="91" spans="2:15" s="18" customFormat="1" ht="13.8" x14ac:dyDescent="0.3">
      <c r="B91" s="19"/>
      <c r="C91" s="20" t="s">
        <v>228</v>
      </c>
      <c r="D91" s="32" t="s">
        <v>229</v>
      </c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</row>
    <row r="92" spans="2:15" s="18" customFormat="1" ht="13.8" x14ac:dyDescent="0.3">
      <c r="B92" s="19"/>
      <c r="C92" s="20" t="s">
        <v>230</v>
      </c>
      <c r="D92" s="33" t="s">
        <v>231</v>
      </c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</row>
    <row r="93" spans="2:15" ht="41.4" x14ac:dyDescent="0.3">
      <c r="B93" s="21">
        <v>44</v>
      </c>
      <c r="C93" s="22" t="s">
        <v>232</v>
      </c>
      <c r="D93" s="23" t="s">
        <v>233</v>
      </c>
      <c r="E93" s="23" t="s">
        <v>234</v>
      </c>
      <c r="F93" s="24">
        <v>5</v>
      </c>
      <c r="G93" s="25">
        <v>1</v>
      </c>
      <c r="H93" s="26">
        <f>F93 * G93 * 158.639233</f>
        <v>793.19616499999995</v>
      </c>
      <c r="I93" s="26">
        <f>F93 * G93 * 0</f>
        <v>0</v>
      </c>
      <c r="J93" s="26">
        <f>F93 * G93 * 0</f>
        <v>0</v>
      </c>
      <c r="K93" s="26">
        <f>F93 * G93 * 151.056277</f>
        <v>755.281385</v>
      </c>
      <c r="L93" s="26">
        <f>F93 * G93 * 36.0201639999999</f>
        <v>180.10081999999952</v>
      </c>
      <c r="M93" s="26">
        <f>F93 * G93 * 31.727847</f>
        <v>158.63923500000001</v>
      </c>
      <c r="N93" s="27">
        <f>SUM(H93:M93)</f>
        <v>1887.2176049999996</v>
      </c>
      <c r="O93" s="28">
        <f>IF(O3&gt;0,N93/O3/12,0)</f>
        <v>3.8790453037515715E-2</v>
      </c>
    </row>
    <row r="94" spans="2:15" ht="41.4" x14ac:dyDescent="0.3">
      <c r="B94" s="21">
        <v>45</v>
      </c>
      <c r="C94" s="22" t="s">
        <v>235</v>
      </c>
      <c r="D94" s="23" t="s">
        <v>236</v>
      </c>
      <c r="E94" s="23" t="s">
        <v>234</v>
      </c>
      <c r="F94" s="24">
        <v>7</v>
      </c>
      <c r="G94" s="25">
        <v>1</v>
      </c>
      <c r="H94" s="26">
        <f>F94 * G94 * 183.045269</f>
        <v>1281.316883</v>
      </c>
      <c r="I94" s="26">
        <f>F94 * G94 * 0</f>
        <v>0</v>
      </c>
      <c r="J94" s="26">
        <f>F94 * G94 * 0</f>
        <v>0</v>
      </c>
      <c r="K94" s="26">
        <f>F94 * G94 * 174.295705</f>
        <v>1220.069935</v>
      </c>
      <c r="L94" s="26">
        <f>F94 * G94 * 41.5617279999999</f>
        <v>290.93209599999932</v>
      </c>
      <c r="M94" s="26">
        <f>F94 * G94 * 36.609054</f>
        <v>256.26337799999999</v>
      </c>
      <c r="N94" s="27">
        <f>SUM(H94:M94)</f>
        <v>3048.5822919999996</v>
      </c>
      <c r="O94" s="28">
        <f>IF(O3&gt;0,N94/O3/12,0)</f>
        <v>6.2661501204482481E-2</v>
      </c>
    </row>
    <row r="95" spans="2:15" ht="41.4" x14ac:dyDescent="0.3">
      <c r="B95" s="21">
        <v>46</v>
      </c>
      <c r="C95" s="22" t="s">
        <v>237</v>
      </c>
      <c r="D95" s="23" t="s">
        <v>238</v>
      </c>
      <c r="E95" s="23" t="s">
        <v>239</v>
      </c>
      <c r="F95" s="24"/>
      <c r="G95" s="25">
        <v>1</v>
      </c>
      <c r="H95" s="26">
        <f>F95 * G95 * 51.862826</f>
        <v>0</v>
      </c>
      <c r="I95" s="26">
        <f>F95 * G95 * 0</f>
        <v>0</v>
      </c>
      <c r="J95" s="26">
        <f>F95 * G95 * 0</f>
        <v>0</v>
      </c>
      <c r="K95" s="26">
        <f>F95 * G95 * 49.3837829999999</f>
        <v>0</v>
      </c>
      <c r="L95" s="26">
        <f>F95 * G95 * 11.775823</f>
        <v>0</v>
      </c>
      <c r="M95" s="26">
        <f>F95 * G95 * 10.372565</f>
        <v>0</v>
      </c>
      <c r="N95" s="27">
        <f>SUM(H95:M95)</f>
        <v>0</v>
      </c>
      <c r="O95" s="28">
        <f>IF(O3&gt;0,N95/O3/12,0)</f>
        <v>0</v>
      </c>
    </row>
    <row r="96" spans="2:15" s="15" customFormat="1" ht="14.4" x14ac:dyDescent="0.3">
      <c r="B96" s="16"/>
      <c r="C96" s="17" t="s">
        <v>240</v>
      </c>
      <c r="D96" s="35" t="s">
        <v>241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</row>
    <row r="97" spans="2:15" s="18" customFormat="1" ht="13.8" x14ac:dyDescent="0.3">
      <c r="B97" s="19"/>
      <c r="C97" s="20" t="s">
        <v>242</v>
      </c>
      <c r="D97" s="32" t="s">
        <v>243</v>
      </c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</row>
    <row r="98" spans="2:15" ht="27.6" x14ac:dyDescent="0.3">
      <c r="B98" s="21">
        <v>47</v>
      </c>
      <c r="C98" s="22" t="s">
        <v>244</v>
      </c>
      <c r="D98" s="23" t="s">
        <v>245</v>
      </c>
      <c r="E98" s="23" t="s">
        <v>246</v>
      </c>
      <c r="F98" s="24">
        <v>2</v>
      </c>
      <c r="G98" s="25">
        <v>1</v>
      </c>
      <c r="H98" s="26">
        <f>F98 * G98 * 280.807903</f>
        <v>561.61580600000002</v>
      </c>
      <c r="I98" s="26">
        <f>F98 * G98 * 1722.9636</f>
        <v>3445.9272000000001</v>
      </c>
      <c r="J98" s="26">
        <f>F98 * G98 * 0</f>
        <v>0</v>
      </c>
      <c r="K98" s="26">
        <f>F98 * G98 * 267.385285</f>
        <v>534.77057000000002</v>
      </c>
      <c r="L98" s="26">
        <f>F98 * G98 * 245.532088</f>
        <v>491.06417599999997</v>
      </c>
      <c r="M98" s="26">
        <f>F98 * G98 * 56.161581</f>
        <v>112.323162</v>
      </c>
      <c r="N98" s="27">
        <f>SUM(H98:M98)</f>
        <v>5145.7009139999991</v>
      </c>
      <c r="O98" s="28">
        <f>IF(O3&gt;0,N98/O3/12,0)</f>
        <v>0.10576632451964579</v>
      </c>
    </row>
    <row r="99" spans="2:15" x14ac:dyDescent="0.3">
      <c r="B99" s="21">
        <v>48</v>
      </c>
      <c r="C99" s="22" t="s">
        <v>247</v>
      </c>
      <c r="D99" s="23" t="s">
        <v>248</v>
      </c>
      <c r="E99" s="23" t="s">
        <v>249</v>
      </c>
      <c r="F99" s="24">
        <v>2</v>
      </c>
      <c r="G99" s="25">
        <v>1</v>
      </c>
      <c r="H99" s="26">
        <f>F99 * G99 * 18.771439</f>
        <v>37.542878000000002</v>
      </c>
      <c r="I99" s="26">
        <f>F99 * G99 * 2196.39366</f>
        <v>4392.7873200000004</v>
      </c>
      <c r="J99" s="26">
        <f>F99 * G99 * 0</f>
        <v>0</v>
      </c>
      <c r="K99" s="26">
        <f>F99 * G99 * 17.874164</f>
        <v>35.748328000000001</v>
      </c>
      <c r="L99" s="26">
        <f>F99 * G99 * 235.98172</f>
        <v>471.96343999999999</v>
      </c>
      <c r="M99" s="26">
        <f>F99 * G99 * 3.754288</f>
        <v>7.5085759999999997</v>
      </c>
      <c r="N99" s="27">
        <f>SUM(H99:M99)</f>
        <v>4945.5505420000009</v>
      </c>
      <c r="O99" s="28">
        <f>IF(O3&gt;0,N99/O3/12,0)</f>
        <v>0.10165237200832039</v>
      </c>
    </row>
    <row r="100" spans="2:15" x14ac:dyDescent="0.3">
      <c r="B100" s="21">
        <v>49</v>
      </c>
      <c r="C100" s="22" t="s">
        <v>250</v>
      </c>
      <c r="D100" s="23" t="s">
        <v>251</v>
      </c>
      <c r="E100" s="23" t="s">
        <v>252</v>
      </c>
      <c r="F100" s="24">
        <v>0.03</v>
      </c>
      <c r="G100" s="25">
        <v>1</v>
      </c>
      <c r="H100" s="26">
        <f>F100 * G100 * 46928.5968</f>
        <v>1407.857904</v>
      </c>
      <c r="I100" s="26">
        <f>F100 * G100 * 128543.543605</f>
        <v>3856.3063081499999</v>
      </c>
      <c r="J100" s="26">
        <f>F100 * G100 * 0</f>
        <v>0</v>
      </c>
      <c r="K100" s="26">
        <f>F100 * G100 * 44685.409873</f>
        <v>1340.5622961899999</v>
      </c>
      <c r="L100" s="26">
        <f>F100 * G100 * 24216.814947</f>
        <v>726.5044484099999</v>
      </c>
      <c r="M100" s="26">
        <f>F100 * G100 * 9385.71936</f>
        <v>281.57158079999994</v>
      </c>
      <c r="N100" s="27">
        <f>SUM(H100:M100)</f>
        <v>7612.8025375499992</v>
      </c>
      <c r="O100" s="28">
        <f>IF(O3&gt;0,N100/O3/12,0)</f>
        <v>0.15647589262326417</v>
      </c>
    </row>
    <row r="101" spans="2:15" s="18" customFormat="1" ht="13.8" x14ac:dyDescent="0.3">
      <c r="B101" s="19"/>
      <c r="C101" s="20" t="s">
        <v>253</v>
      </c>
      <c r="D101" s="32" t="s">
        <v>254</v>
      </c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</row>
    <row r="102" spans="2:15" x14ac:dyDescent="0.3">
      <c r="B102" s="21">
        <v>50</v>
      </c>
      <c r="C102" s="22" t="s">
        <v>255</v>
      </c>
      <c r="D102" s="23" t="s">
        <v>256</v>
      </c>
      <c r="E102" s="23" t="s">
        <v>257</v>
      </c>
      <c r="F102" s="24">
        <v>2</v>
      </c>
      <c r="G102" s="25">
        <v>1</v>
      </c>
      <c r="H102" s="26">
        <f>F102 * G102 * 44.582167</f>
        <v>89.164333999999997</v>
      </c>
      <c r="I102" s="26">
        <f>F102 * G102 * 75.27332</f>
        <v>150.54664</v>
      </c>
      <c r="J102" s="26">
        <f>F102 * G102 * 0</f>
        <v>0</v>
      </c>
      <c r="K102" s="26">
        <f>F102 * G102 * 42.4511399999999</f>
        <v>84.902279999999806</v>
      </c>
      <c r="L102" s="26">
        <f>F102 * G102 * 18.064033</f>
        <v>36.128065999999997</v>
      </c>
      <c r="M102" s="26">
        <f>F102 * G102 * 8.916433</f>
        <v>17.832865999999999</v>
      </c>
      <c r="N102" s="27">
        <f>SUM(H102:M102)</f>
        <v>378.57418599999983</v>
      </c>
      <c r="O102" s="28">
        <f>IF(O3&gt;0,N102/O3/12,0)</f>
        <v>7.7813306448297655E-3</v>
      </c>
    </row>
    <row r="103" spans="2:15" ht="27.6" x14ac:dyDescent="0.3">
      <c r="B103" s="21">
        <v>51</v>
      </c>
      <c r="C103" s="22" t="s">
        <v>258</v>
      </c>
      <c r="D103" s="23" t="s">
        <v>259</v>
      </c>
      <c r="E103" s="23" t="s">
        <v>260</v>
      </c>
      <c r="F103" s="24">
        <v>2</v>
      </c>
      <c r="G103" s="25">
        <v>1</v>
      </c>
      <c r="H103" s="26">
        <f>F103 * G103 * 236.037586</f>
        <v>472.07517200000001</v>
      </c>
      <c r="I103" s="26">
        <f>F103 * G103 * 1088.06144</f>
        <v>2176.1228799999999</v>
      </c>
      <c r="J103" s="26">
        <f>F103 * G103 * 0</f>
        <v>0</v>
      </c>
      <c r="K103" s="26">
        <f>F103 * G103 * 224.754989</f>
        <v>449.50997799999999</v>
      </c>
      <c r="L103" s="26">
        <f>F103 * G103 * 168.384492</f>
        <v>336.76898399999999</v>
      </c>
      <c r="M103" s="26">
        <f>F103 * G103 * 47.207517</f>
        <v>94.415034000000006</v>
      </c>
      <c r="N103" s="27">
        <f>SUM(H103:M103)</f>
        <v>3528.8920479999997</v>
      </c>
      <c r="O103" s="28">
        <f>IF(O3&gt;0,N103/O3/12,0)</f>
        <v>7.2533936150095776E-2</v>
      </c>
    </row>
    <row r="104" spans="2:15" s="15" customFormat="1" ht="14.4" x14ac:dyDescent="0.3">
      <c r="B104" s="16"/>
      <c r="C104" s="17" t="s">
        <v>261</v>
      </c>
      <c r="D104" s="35" t="s">
        <v>262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</row>
    <row r="105" spans="2:15" ht="27.6" x14ac:dyDescent="0.3">
      <c r="B105" s="21">
        <v>52</v>
      </c>
      <c r="C105" s="22" t="s">
        <v>263</v>
      </c>
      <c r="D105" s="23" t="s">
        <v>264</v>
      </c>
      <c r="E105" s="23" t="s">
        <v>265</v>
      </c>
      <c r="F105" s="24">
        <v>4.0540000000000003</v>
      </c>
      <c r="G105" s="25">
        <v>1</v>
      </c>
      <c r="H105" s="26">
        <f>F105 * G105 * 5457.21019</f>
        <v>22123.530110260002</v>
      </c>
      <c r="I105" s="26">
        <f>F105 * G105 * 7019.863601</f>
        <v>28458.527038454002</v>
      </c>
      <c r="J105" s="26">
        <f>F105 * G105 * 0</f>
        <v>0</v>
      </c>
      <c r="K105" s="26">
        <f>F105 * G105 * 5196.355543</f>
        <v>21066.025371322001</v>
      </c>
      <c r="L105" s="26">
        <f>F105 * G105 * 1979.69393</f>
        <v>8025.67919222</v>
      </c>
      <c r="M105" s="26">
        <f>F105 * G105 * 1091.442038</f>
        <v>4424.7060220519998</v>
      </c>
      <c r="N105" s="27">
        <f>SUM(H105:M105)</f>
        <v>84098.467734308011</v>
      </c>
      <c r="O105" s="28">
        <f>IF(O3&gt;0,N105/O3/12,0)</f>
        <v>1.7285858581076061</v>
      </c>
    </row>
    <row r="106" spans="2:15" s="18" customFormat="1" ht="13.8" x14ac:dyDescent="0.3">
      <c r="B106" s="19"/>
      <c r="C106" s="20" t="s">
        <v>266</v>
      </c>
      <c r="D106" s="32" t="s">
        <v>267</v>
      </c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</row>
    <row r="107" spans="2:15" ht="27.6" x14ac:dyDescent="0.3">
      <c r="B107" s="21">
        <v>53</v>
      </c>
      <c r="C107" s="22" t="s">
        <v>268</v>
      </c>
      <c r="D107" s="23" t="s">
        <v>269</v>
      </c>
      <c r="E107" s="23" t="s">
        <v>265</v>
      </c>
      <c r="F107" s="24">
        <v>4.0540000000000003</v>
      </c>
      <c r="G107" s="25">
        <v>2</v>
      </c>
      <c r="H107" s="26">
        <f>F107 * G107 * 91.510764</f>
        <v>741.96927451199997</v>
      </c>
      <c r="I107" s="26">
        <f>F107 * G107 * 0</f>
        <v>0</v>
      </c>
      <c r="J107" s="26">
        <f>F107 * G107 * 0</f>
        <v>0</v>
      </c>
      <c r="K107" s="26">
        <f>F107 * G107 * 87.13655</f>
        <v>706.50314739999999</v>
      </c>
      <c r="L107" s="26">
        <f>F107 * G107 * 20.7781679999999</f>
        <v>168.4693861439992</v>
      </c>
      <c r="M107" s="26">
        <f>F107 * G107 * 18.302153</f>
        <v>148.393856524</v>
      </c>
      <c r="N107" s="27">
        <f>SUM(H107:M107)</f>
        <v>1765.335664579999</v>
      </c>
      <c r="O107" s="28">
        <f>IF(O3&gt;0,N107/O3/12,0)</f>
        <v>3.628525402206708E-2</v>
      </c>
    </row>
    <row r="108" spans="2:15" ht="27.6" x14ac:dyDescent="0.3">
      <c r="B108" s="21">
        <v>54</v>
      </c>
      <c r="C108" s="22" t="s">
        <v>270</v>
      </c>
      <c r="D108" s="23" t="s">
        <v>271</v>
      </c>
      <c r="E108" s="23" t="s">
        <v>265</v>
      </c>
      <c r="F108" s="24">
        <v>4.0540000000000003</v>
      </c>
      <c r="G108" s="25">
        <v>2</v>
      </c>
      <c r="H108" s="26">
        <f>F108 * G108 * 729.73968</f>
        <v>5916.7293254400001</v>
      </c>
      <c r="I108" s="26">
        <f>F108 * G108 * 0</f>
        <v>0</v>
      </c>
      <c r="J108" s="26">
        <f>F108 * G108 * 0</f>
        <v>0</v>
      </c>
      <c r="K108" s="26">
        <f>F108 * G108 * 694.858123</f>
        <v>5633.9096612840003</v>
      </c>
      <c r="L108" s="26">
        <f>F108 * G108 * 165.692576</f>
        <v>1343.4354062080001</v>
      </c>
      <c r="M108" s="26">
        <f>F108 * G108 * 145.947936</f>
        <v>1183.345865088</v>
      </c>
      <c r="N108" s="27">
        <f>SUM(H108:M108)</f>
        <v>14077.42025802</v>
      </c>
      <c r="O108" s="28">
        <f>IF(O3&gt;0,N108/O3/12,0)</f>
        <v>0.28935164019312826</v>
      </c>
    </row>
    <row r="109" spans="2:15" ht="27.6" x14ac:dyDescent="0.3">
      <c r="B109" s="21">
        <v>55</v>
      </c>
      <c r="C109" s="22" t="s">
        <v>272</v>
      </c>
      <c r="D109" s="23" t="s">
        <v>273</v>
      </c>
      <c r="E109" s="23" t="s">
        <v>265</v>
      </c>
      <c r="F109" s="24">
        <v>4.0540000000000003</v>
      </c>
      <c r="G109" s="25">
        <v>2</v>
      </c>
      <c r="H109" s="26">
        <f>F109 * G109 * 362.930969</f>
        <v>2942.6442966520003</v>
      </c>
      <c r="I109" s="26">
        <f>F109 * G109 * 0</f>
        <v>0</v>
      </c>
      <c r="J109" s="26">
        <f>F109 * G109 * 0</f>
        <v>0</v>
      </c>
      <c r="K109" s="26">
        <f>F109 * G109 * 345.582869</f>
        <v>2801.9859018520001</v>
      </c>
      <c r="L109" s="26">
        <f>F109 * G109 * 82.406053</f>
        <v>668.14827772400008</v>
      </c>
      <c r="M109" s="26">
        <f>F109 * G109 * 72.586194</f>
        <v>588.52886095200006</v>
      </c>
      <c r="N109" s="27">
        <f>SUM(H109:M109)</f>
        <v>7001.307337180001</v>
      </c>
      <c r="O109" s="28">
        <f>IF(O3&gt;0,N109/O3/12,0)</f>
        <v>0.14390703157100693</v>
      </c>
    </row>
    <row r="110" spans="2:15" ht="27.6" x14ac:dyDescent="0.3">
      <c r="B110" s="21">
        <v>56</v>
      </c>
      <c r="C110" s="22" t="s">
        <v>274</v>
      </c>
      <c r="D110" s="23" t="s">
        <v>275</v>
      </c>
      <c r="E110" s="23" t="s">
        <v>265</v>
      </c>
      <c r="F110" s="24">
        <v>4.0540000000000003</v>
      </c>
      <c r="G110" s="25">
        <v>2</v>
      </c>
      <c r="H110" s="26">
        <f>F110 * G110 * 1059.652464</f>
        <v>8591.6621781120011</v>
      </c>
      <c r="I110" s="26">
        <f>F110 * G110 * 0</f>
        <v>0</v>
      </c>
      <c r="J110" s="26">
        <f>F110 * G110 * 0</f>
        <v>0</v>
      </c>
      <c r="K110" s="26">
        <f>F110 * G110 * 1009.00107699999</f>
        <v>8180.9807323159193</v>
      </c>
      <c r="L110" s="26">
        <f>F110 * G110 * 240.601614999999</f>
        <v>1950.797894419992</v>
      </c>
      <c r="M110" s="26">
        <f>F110 * G110 * 211.930493</f>
        <v>1718.3324372440002</v>
      </c>
      <c r="N110" s="27">
        <f>SUM(H110:M110)</f>
        <v>20441.773242091913</v>
      </c>
      <c r="O110" s="28">
        <f>IF(O3&gt;0,N110/O3/12,0)</f>
        <v>0.4201665154299532</v>
      </c>
    </row>
    <row r="111" spans="2:15" s="18" customFormat="1" ht="13.8" x14ac:dyDescent="0.3">
      <c r="B111" s="19"/>
      <c r="C111" s="20" t="s">
        <v>276</v>
      </c>
      <c r="D111" s="32" t="s">
        <v>277</v>
      </c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2:15" ht="27.6" x14ac:dyDescent="0.3">
      <c r="B112" s="21">
        <v>57</v>
      </c>
      <c r="C112" s="22" t="s">
        <v>278</v>
      </c>
      <c r="D112" s="23" t="s">
        <v>279</v>
      </c>
      <c r="E112" s="23" t="s">
        <v>280</v>
      </c>
      <c r="F112" s="24">
        <v>1.1100000000000001</v>
      </c>
      <c r="G112" s="25">
        <v>2</v>
      </c>
      <c r="H112" s="26">
        <f>F112 * G112 * 15894.78696</f>
        <v>35286.4270512</v>
      </c>
      <c r="I112" s="26">
        <f>F112 * G112 * 0</f>
        <v>0</v>
      </c>
      <c r="J112" s="26">
        <f>F112 * G112 * 0</f>
        <v>0</v>
      </c>
      <c r="K112" s="26">
        <f>F112 * G112 * 15135.016143</f>
        <v>33599.735837460008</v>
      </c>
      <c r="L112" s="26">
        <f>F112 * G112 * 3609.024232</f>
        <v>8012.0337950400008</v>
      </c>
      <c r="M112" s="26">
        <f>F112 * G112 * 3178.957392</f>
        <v>7057.2854102400006</v>
      </c>
      <c r="N112" s="27">
        <f>SUM(H112:M112)</f>
        <v>83955.482093940009</v>
      </c>
      <c r="O112" s="28">
        <f>IF(O3&gt;0,N112/O3/12,0)</f>
        <v>1.7256468871309476</v>
      </c>
    </row>
    <row r="113" spans="2:15" ht="41.4" x14ac:dyDescent="0.3">
      <c r="B113" s="21">
        <v>58</v>
      </c>
      <c r="C113" s="22" t="s">
        <v>281</v>
      </c>
      <c r="D113" s="23" t="s">
        <v>282</v>
      </c>
      <c r="E113" s="23" t="s">
        <v>283</v>
      </c>
      <c r="F113" s="24">
        <v>0.5</v>
      </c>
      <c r="G113" s="25">
        <v>1</v>
      </c>
      <c r="H113" s="26">
        <f>F113 * G113 * 8312.118894</f>
        <v>4156.0594469999996</v>
      </c>
      <c r="I113" s="26">
        <f>F113 * G113 * 1024.072096</f>
        <v>512.03604800000005</v>
      </c>
      <c r="J113" s="26">
        <f>F113 * G113 * 0</f>
        <v>0</v>
      </c>
      <c r="K113" s="26">
        <f>F113 * G113 * 7914.799611</f>
        <v>3957.3998055000002</v>
      </c>
      <c r="L113" s="26">
        <f>F113 * G113 * 1995.365217</f>
        <v>997.68260850000001</v>
      </c>
      <c r="M113" s="26">
        <f>F113 * G113 * 1662.423779</f>
        <v>831.21188949999998</v>
      </c>
      <c r="N113" s="27">
        <f>SUM(H113:M113)</f>
        <v>10454.389798499999</v>
      </c>
      <c r="O113" s="28">
        <f>IF(O3&gt;0,N113/O3/12,0)</f>
        <v>0.21488275408208565</v>
      </c>
    </row>
    <row r="114" spans="2:15" ht="27.6" x14ac:dyDescent="0.3">
      <c r="B114" s="21">
        <v>59</v>
      </c>
      <c r="C114" s="22" t="s">
        <v>284</v>
      </c>
      <c r="D114" s="23" t="s">
        <v>285</v>
      </c>
      <c r="E114" s="23" t="s">
        <v>265</v>
      </c>
      <c r="F114" s="24">
        <v>4.0540000000000003</v>
      </c>
      <c r="G114" s="25">
        <v>2</v>
      </c>
      <c r="H114" s="26">
        <f>F114 * G114 * 985.500533</f>
        <v>7990.4383215640009</v>
      </c>
      <c r="I114" s="26">
        <f>F114 * G114 * 0</f>
        <v>0</v>
      </c>
      <c r="J114" s="26">
        <f>F114 * G114 * 0</f>
        <v>0</v>
      </c>
      <c r="K114" s="26">
        <f>F114 * G114 * 938.393607</f>
        <v>7608.4953655560003</v>
      </c>
      <c r="L114" s="26">
        <f>F114 * G114 * 223.764893</f>
        <v>1814.2857524440001</v>
      </c>
      <c r="M114" s="26">
        <f>F114 * G114 * 197.100107</f>
        <v>1598.0876675560003</v>
      </c>
      <c r="N114" s="27">
        <f>SUM(H114:M114)</f>
        <v>19011.307107119999</v>
      </c>
      <c r="O114" s="28">
        <f>IF(O3&gt;0,N114/O3/12,0)</f>
        <v>0.39076427305823441</v>
      </c>
    </row>
    <row r="115" spans="2:15" s="18" customFormat="1" ht="13.8" x14ac:dyDescent="0.3">
      <c r="B115" s="19"/>
      <c r="C115" s="20" t="s">
        <v>286</v>
      </c>
      <c r="D115" s="32" t="s">
        <v>287</v>
      </c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2:15" ht="27.6" x14ac:dyDescent="0.3">
      <c r="B116" s="21">
        <v>60</v>
      </c>
      <c r="C116" s="22" t="s">
        <v>288</v>
      </c>
      <c r="D116" s="23" t="s">
        <v>289</v>
      </c>
      <c r="E116" s="23" t="s">
        <v>265</v>
      </c>
      <c r="F116" s="24">
        <v>4.0540000000000003</v>
      </c>
      <c r="G116" s="25">
        <v>3</v>
      </c>
      <c r="H116" s="26">
        <f>F116 * G116 * 985.500533</f>
        <v>11985.657482346001</v>
      </c>
      <c r="I116" s="26">
        <f>F116 * G116 * 0</f>
        <v>0</v>
      </c>
      <c r="J116" s="26">
        <f>F116 * G116 * 0</f>
        <v>0</v>
      </c>
      <c r="K116" s="26">
        <f>F116 * G116 * 938.393607</f>
        <v>11412.743048334001</v>
      </c>
      <c r="L116" s="26">
        <f>F116 * G116 * 223.764893</f>
        <v>2721.4286286660003</v>
      </c>
      <c r="M116" s="26">
        <f>F116 * G116 * 197.100107</f>
        <v>2397.1315013340004</v>
      </c>
      <c r="N116" s="27">
        <f>SUM(H116:M116)</f>
        <v>28516.960660680001</v>
      </c>
      <c r="O116" s="28">
        <f>IF(O3&gt;0,N116/O3/12,0)</f>
        <v>0.58614640958735176</v>
      </c>
    </row>
    <row r="117" spans="2:15" s="18" customFormat="1" ht="13.8" x14ac:dyDescent="0.3">
      <c r="B117" s="19"/>
      <c r="C117" s="20" t="s">
        <v>290</v>
      </c>
      <c r="D117" s="32" t="s">
        <v>291</v>
      </c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</row>
    <row r="118" spans="2:15" s="18" customFormat="1" ht="13.8" x14ac:dyDescent="0.3">
      <c r="B118" s="19"/>
      <c r="C118" s="20" t="s">
        <v>292</v>
      </c>
      <c r="D118" s="33" t="s">
        <v>293</v>
      </c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2:15" ht="27.6" x14ac:dyDescent="0.3">
      <c r="B119" s="21">
        <v>61</v>
      </c>
      <c r="C119" s="22" t="s">
        <v>294</v>
      </c>
      <c r="D119" s="23" t="s">
        <v>295</v>
      </c>
      <c r="E119" s="23" t="s">
        <v>265</v>
      </c>
      <c r="F119" s="24">
        <v>4.0540000000000003</v>
      </c>
      <c r="G119" s="25">
        <v>1</v>
      </c>
      <c r="H119" s="26">
        <f>F119 * G119 * 2649.13116</f>
        <v>10739.577722640001</v>
      </c>
      <c r="I119" s="26">
        <f>F119 * G119 * 0</f>
        <v>0</v>
      </c>
      <c r="J119" s="26">
        <f>F119 * G119 * 0</f>
        <v>0</v>
      </c>
      <c r="K119" s="26">
        <f>F119 * G119 * 2522.502691</f>
        <v>10226.225909314002</v>
      </c>
      <c r="L119" s="26">
        <f>F119 * G119 * 601.504038</f>
        <v>2438.4973700520004</v>
      </c>
      <c r="M119" s="26">
        <f>F119 * G119 * 529.826232</f>
        <v>2147.9155445280003</v>
      </c>
      <c r="N119" s="27">
        <f>SUM(H119:M119)</f>
        <v>25552.216546534004</v>
      </c>
      <c r="O119" s="28">
        <f>IF(O3&gt;0,N119/O3/12,0)</f>
        <v>0.52520814416245309</v>
      </c>
    </row>
    <row r="120" spans="2:15" ht="41.4" x14ac:dyDescent="0.3">
      <c r="B120" s="21">
        <v>62</v>
      </c>
      <c r="C120" s="22" t="s">
        <v>296</v>
      </c>
      <c r="D120" s="23" t="s">
        <v>297</v>
      </c>
      <c r="E120" s="23" t="s">
        <v>298</v>
      </c>
      <c r="F120" s="24">
        <v>2.5540000000000003</v>
      </c>
      <c r="G120" s="25">
        <v>1</v>
      </c>
      <c r="H120" s="26">
        <f>F120 * G120 * 1059.652464</f>
        <v>2706.3523930560004</v>
      </c>
      <c r="I120" s="26">
        <f>F120 * G120 * 0</f>
        <v>0</v>
      </c>
      <c r="J120" s="26">
        <f>F120 * G120 * 0</f>
        <v>0</v>
      </c>
      <c r="K120" s="26">
        <f>F120 * G120 * 1009.00107699999</f>
        <v>2576.9887506579748</v>
      </c>
      <c r="L120" s="26">
        <f>F120 * G120 * 240.601614999999</f>
        <v>614.49652470999752</v>
      </c>
      <c r="M120" s="26">
        <f>F120 * G120 * 211.930493</f>
        <v>541.2704791220001</v>
      </c>
      <c r="N120" s="27">
        <f>SUM(H120:M120)</f>
        <v>6439.1081475459723</v>
      </c>
      <c r="O120" s="28">
        <f>IF(O3&gt;0,N120/O3/12,0)</f>
        <v>0.13235141593587821</v>
      </c>
    </row>
    <row r="121" spans="2:15" x14ac:dyDescent="0.3">
      <c r="B121" s="21">
        <v>63</v>
      </c>
      <c r="C121" s="22" t="s">
        <v>299</v>
      </c>
      <c r="D121" s="23" t="s">
        <v>300</v>
      </c>
      <c r="E121" s="23" t="s">
        <v>301</v>
      </c>
      <c r="F121" s="24">
        <v>1</v>
      </c>
      <c r="G121" s="25">
        <v>2</v>
      </c>
      <c r="H121" s="26">
        <f>F121 * G121 * 938.571936</f>
        <v>1877.1438720000001</v>
      </c>
      <c r="I121" s="26">
        <f>F121 * G121 * 0</f>
        <v>0</v>
      </c>
      <c r="J121" s="26">
        <f>F121 * G121 * 0</f>
        <v>0</v>
      </c>
      <c r="K121" s="26">
        <f>F121 * G121 * 893.708197</f>
        <v>1787.4163940000001</v>
      </c>
      <c r="L121" s="26">
        <f>F121 * G121 * 213.109422</f>
        <v>426.21884399999999</v>
      </c>
      <c r="M121" s="26">
        <f>F121 * G121 * 187.714387</f>
        <v>375.42877399999998</v>
      </c>
      <c r="N121" s="27">
        <f>SUM(H121:M121)</f>
        <v>4466.2078840000004</v>
      </c>
      <c r="O121" s="28">
        <f>IF(O3&gt;0,N121/O3/12,0)</f>
        <v>9.1799815093439888E-2</v>
      </c>
    </row>
    <row r="122" spans="2:15" s="18" customFormat="1" ht="13.8" x14ac:dyDescent="0.3">
      <c r="B122" s="19"/>
      <c r="C122" s="20" t="s">
        <v>302</v>
      </c>
      <c r="D122" s="33" t="s">
        <v>303</v>
      </c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2:15" ht="27.6" x14ac:dyDescent="0.3">
      <c r="B123" s="21">
        <v>64</v>
      </c>
      <c r="C123" s="22" t="s">
        <v>304</v>
      </c>
      <c r="D123" s="23" t="s">
        <v>305</v>
      </c>
      <c r="E123" s="23" t="s">
        <v>140</v>
      </c>
      <c r="F123" s="24">
        <v>2</v>
      </c>
      <c r="G123" s="25">
        <v>1</v>
      </c>
      <c r="H123" s="26">
        <f>F123 * G123 * 922.101423</f>
        <v>1844.2028459999999</v>
      </c>
      <c r="I123" s="26">
        <f>F123 * G123 * 9.960721</f>
        <v>19.921441999999999</v>
      </c>
      <c r="J123" s="26">
        <f>F123 * G123 * 0</f>
        <v>0</v>
      </c>
      <c r="K123" s="26">
        <f>F123 * G123 * 878.024974999999</f>
        <v>1756.049949999998</v>
      </c>
      <c r="L123" s="26">
        <f>F123 * G123 * 210.420530999999</f>
        <v>420.84106199999798</v>
      </c>
      <c r="M123" s="26">
        <f>F123 * G123 * 184.420285</f>
        <v>368.84057000000001</v>
      </c>
      <c r="N123" s="27">
        <f>SUM(H123:M123)</f>
        <v>4409.8558699999958</v>
      </c>
      <c r="O123" s="28">
        <f>IF(O3&gt;0,N123/O3/12,0)</f>
        <v>9.0641538407780942E-2</v>
      </c>
    </row>
    <row r="124" spans="2:15" s="18" customFormat="1" ht="13.8" x14ac:dyDescent="0.3">
      <c r="B124" s="19"/>
      <c r="C124" s="20" t="s">
        <v>306</v>
      </c>
      <c r="D124" s="33" t="s">
        <v>307</v>
      </c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2:15" ht="27.6" x14ac:dyDescent="0.3">
      <c r="B125" s="21">
        <v>65</v>
      </c>
      <c r="C125" s="22" t="s">
        <v>308</v>
      </c>
      <c r="D125" s="23" t="s">
        <v>309</v>
      </c>
      <c r="E125" s="23" t="s">
        <v>310</v>
      </c>
      <c r="F125" s="24">
        <v>148.52000000000001</v>
      </c>
      <c r="G125" s="25">
        <v>1</v>
      </c>
      <c r="H125" s="26">
        <f>F125 * G125 * 217.306904</f>
        <v>32274.421382080003</v>
      </c>
      <c r="I125" s="26">
        <f>F125 * G125 * 0</f>
        <v>0</v>
      </c>
      <c r="J125" s="26">
        <f>F125 * G125 * 0</f>
        <v>0</v>
      </c>
      <c r="K125" s="26">
        <f>F125 * G125 * 206.919634</f>
        <v>30731.704041680001</v>
      </c>
      <c r="L125" s="26">
        <f>F125 * G125 * 49.341076</f>
        <v>7328.1366075200003</v>
      </c>
      <c r="M125" s="26">
        <f>F125 * G125 * 43.461381</f>
        <v>6454.8843061200005</v>
      </c>
      <c r="N125" s="27">
        <f>SUM(H125:M125)</f>
        <v>76789.146337400016</v>
      </c>
      <c r="O125" s="28">
        <f>IF(O3&gt;0,N125/O3/12,0)</f>
        <v>1.5783478105016078</v>
      </c>
    </row>
    <row r="126" spans="2:15" s="18" customFormat="1" ht="13.8" x14ac:dyDescent="0.3">
      <c r="B126" s="19"/>
      <c r="C126" s="20" t="s">
        <v>311</v>
      </c>
      <c r="D126" s="33" t="s">
        <v>312</v>
      </c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2:15" x14ac:dyDescent="0.3">
      <c r="B127" s="21">
        <v>66</v>
      </c>
      <c r="C127" s="22" t="s">
        <v>313</v>
      </c>
      <c r="D127" s="23" t="s">
        <v>314</v>
      </c>
      <c r="E127" s="23" t="s">
        <v>315</v>
      </c>
      <c r="F127" s="24">
        <v>0.1</v>
      </c>
      <c r="G127" s="25">
        <v>1</v>
      </c>
      <c r="H127" s="26">
        <f>F127 * G127 * 8212.306596</f>
        <v>821.23065960000008</v>
      </c>
      <c r="I127" s="26">
        <f>F127 * G127 * 443.77776</f>
        <v>44.377776000000004</v>
      </c>
      <c r="J127" s="26">
        <f>F127 * G127 * 0</f>
        <v>0</v>
      </c>
      <c r="K127" s="26">
        <f>F127 * G127 * 7819.75834</f>
        <v>781.97583400000008</v>
      </c>
      <c r="L127" s="26">
        <f>F127 * G127 * 1911.481074</f>
        <v>191.14810740000001</v>
      </c>
      <c r="M127" s="26">
        <f>F127 * G127 * 1642.461319</f>
        <v>164.24613190000002</v>
      </c>
      <c r="N127" s="27">
        <f>SUM(H127:M127)</f>
        <v>2002.9785089000002</v>
      </c>
      <c r="O127" s="28">
        <f>IF(O3&gt;0,N127/O3/12,0)</f>
        <v>4.1169838379416096E-2</v>
      </c>
    </row>
    <row r="128" spans="2:15" s="18" customFormat="1" ht="13.8" x14ac:dyDescent="0.3">
      <c r="B128" s="19"/>
      <c r="C128" s="20" t="s">
        <v>316</v>
      </c>
      <c r="D128" s="36" t="s">
        <v>317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</row>
    <row r="129" spans="2:15" ht="27.6" x14ac:dyDescent="0.3">
      <c r="B129" s="21">
        <v>67</v>
      </c>
      <c r="C129" s="22" t="s">
        <v>318</v>
      </c>
      <c r="D129" s="23" t="s">
        <v>319</v>
      </c>
      <c r="E129" s="23" t="s">
        <v>320</v>
      </c>
      <c r="F129" s="24">
        <v>0.1</v>
      </c>
      <c r="G129" s="25">
        <v>1</v>
      </c>
      <c r="H129" s="26">
        <f>F129 * G129 * 13140.007104</f>
        <v>1314.0007104000001</v>
      </c>
      <c r="I129" s="26">
        <f>F129 * G129 * 0</f>
        <v>0</v>
      </c>
      <c r="J129" s="26">
        <f>F129 * G129 * 0</f>
        <v>0</v>
      </c>
      <c r="K129" s="26">
        <f>F129 * G129 * 12511.914765</f>
        <v>1251.1914765000001</v>
      </c>
      <c r="L129" s="26">
        <f>F129 * G129 * 2983.531907</f>
        <v>298.35319070000003</v>
      </c>
      <c r="M129" s="26">
        <f>F129 * G129 * 2628.001421</f>
        <v>262.80014210000002</v>
      </c>
      <c r="N129" s="27">
        <f>SUM(H129:M129)</f>
        <v>3126.3455197000003</v>
      </c>
      <c r="O129" s="28">
        <f>IF(O3&gt;0,N129/O3/12,0)</f>
        <v>6.4259870583906795E-2</v>
      </c>
    </row>
    <row r="130" spans="2:15" s="18" customFormat="1" ht="13.8" x14ac:dyDescent="0.3">
      <c r="B130" s="19"/>
      <c r="C130" s="20" t="s">
        <v>321</v>
      </c>
      <c r="D130" s="32" t="s">
        <v>322</v>
      </c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2:15" s="18" customFormat="1" ht="13.8" x14ac:dyDescent="0.3">
      <c r="B131" s="19"/>
      <c r="C131" s="20" t="s">
        <v>323</v>
      </c>
      <c r="D131" s="33" t="s">
        <v>324</v>
      </c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</row>
    <row r="132" spans="2:15" ht="27.6" x14ac:dyDescent="0.3">
      <c r="B132" s="21">
        <v>68</v>
      </c>
      <c r="C132" s="22" t="s">
        <v>325</v>
      </c>
      <c r="D132" s="23" t="s">
        <v>326</v>
      </c>
      <c r="E132" s="23" t="s">
        <v>327</v>
      </c>
      <c r="F132" s="24">
        <v>3</v>
      </c>
      <c r="G132" s="25">
        <v>12</v>
      </c>
      <c r="H132" s="26">
        <f>F132 * G132 * 42.386099</f>
        <v>1525.8995640000001</v>
      </c>
      <c r="I132" s="26">
        <f>F132 * G132 * 0</f>
        <v>0</v>
      </c>
      <c r="J132" s="26">
        <f>F132 * G132 * 0</f>
        <v>0</v>
      </c>
      <c r="K132" s="26">
        <f>F132 * G132 * 40.360043</f>
        <v>1452.961548</v>
      </c>
      <c r="L132" s="26">
        <f>F132 * G132 * 9.624065</f>
        <v>346.46634</v>
      </c>
      <c r="M132" s="26">
        <f>F132 * G132 * 8.47722</f>
        <v>305.17992000000004</v>
      </c>
      <c r="N132" s="27">
        <f>SUM(H132:M132)</f>
        <v>3630.507372</v>
      </c>
      <c r="O132" s="28">
        <f>IF(O3&gt;0,N132/O3/12,0)</f>
        <v>7.4622568877488096E-2</v>
      </c>
    </row>
    <row r="133" spans="2:15" ht="27.6" x14ac:dyDescent="0.3">
      <c r="B133" s="21">
        <v>69</v>
      </c>
      <c r="C133" s="22" t="s">
        <v>328</v>
      </c>
      <c r="D133" s="23" t="s">
        <v>329</v>
      </c>
      <c r="E133" s="23" t="s">
        <v>327</v>
      </c>
      <c r="F133" s="24">
        <v>3</v>
      </c>
      <c r="G133" s="25">
        <v>12</v>
      </c>
      <c r="H133" s="26">
        <f>F133 * G133 * 23.464298</f>
        <v>844.71472799999992</v>
      </c>
      <c r="I133" s="26">
        <f>F133 * G133 * 0</f>
        <v>0</v>
      </c>
      <c r="J133" s="26">
        <f>F133 * G133 * 0</f>
        <v>0</v>
      </c>
      <c r="K133" s="26">
        <f>F133 * G133 * 22.342705</f>
        <v>804.33737999999994</v>
      </c>
      <c r="L133" s="26">
        <f>F133 * G133 * 5.327735</f>
        <v>191.79845999999998</v>
      </c>
      <c r="M133" s="26">
        <f>F133 * G133 * 4.69286</f>
        <v>168.94295999999997</v>
      </c>
      <c r="N133" s="27">
        <f>SUM(H133:M133)</f>
        <v>2009.7935279999997</v>
      </c>
      <c r="O133" s="28">
        <f>IF(O3&gt;0,N133/O3/12,0)</f>
        <v>4.1309916385072629E-2</v>
      </c>
    </row>
    <row r="134" spans="2:15" ht="41.4" x14ac:dyDescent="0.3">
      <c r="B134" s="21">
        <v>70</v>
      </c>
      <c r="C134" s="22" t="s">
        <v>330</v>
      </c>
      <c r="D134" s="23" t="s">
        <v>331</v>
      </c>
      <c r="E134" s="23" t="s">
        <v>332</v>
      </c>
      <c r="F134" s="24">
        <v>3</v>
      </c>
      <c r="G134" s="25">
        <v>12</v>
      </c>
      <c r="H134" s="26">
        <f>F134 * G134 * 201.792966</f>
        <v>7264.5467760000001</v>
      </c>
      <c r="I134" s="26">
        <f>F134 * G134 * 0</f>
        <v>0</v>
      </c>
      <c r="J134" s="26">
        <f>F134 * G134 * 0</f>
        <v>0</v>
      </c>
      <c r="K134" s="26">
        <f>F134 * G134 * 192.147261999999</f>
        <v>6917.3014319999638</v>
      </c>
      <c r="L134" s="26">
        <f>F134 * G134 * 45.818526</f>
        <v>1649.466936</v>
      </c>
      <c r="M134" s="26">
        <f>F134 * G134 * 40.358593</f>
        <v>1452.9093479999999</v>
      </c>
      <c r="N134" s="27">
        <f>SUM(H134:M134)</f>
        <v>17284.224491999965</v>
      </c>
      <c r="O134" s="28">
        <f>IF(O3&gt;0,N134/O3/12,0)</f>
        <v>0.35526528401943541</v>
      </c>
    </row>
    <row r="135" spans="2:15" s="18" customFormat="1" ht="13.8" x14ac:dyDescent="0.3">
      <c r="B135" s="19"/>
      <c r="C135" s="20" t="s">
        <v>333</v>
      </c>
      <c r="D135" s="33" t="s">
        <v>334</v>
      </c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2:15" ht="41.4" x14ac:dyDescent="0.3">
      <c r="B136" s="21">
        <v>71</v>
      </c>
      <c r="C136" s="22" t="s">
        <v>335</v>
      </c>
      <c r="D136" s="23" t="s">
        <v>336</v>
      </c>
      <c r="E136" s="23" t="s">
        <v>337</v>
      </c>
      <c r="F136" s="24">
        <v>1</v>
      </c>
      <c r="G136" s="25">
        <v>2</v>
      </c>
      <c r="H136" s="26">
        <f>F136 * G136 * 190.737444</f>
        <v>381.47488800000002</v>
      </c>
      <c r="I136" s="26">
        <f>F136 * G136 * 0</f>
        <v>0</v>
      </c>
      <c r="J136" s="26">
        <f>F136 * G136 * 0</f>
        <v>0</v>
      </c>
      <c r="K136" s="26">
        <f>F136 * G136 * 181.620195</f>
        <v>363.24038999999999</v>
      </c>
      <c r="L136" s="26">
        <f>F136 * G136 * 43.308291</f>
        <v>86.616581999999994</v>
      </c>
      <c r="M136" s="26">
        <f>F136 * G136 * 38.147489</f>
        <v>76.294978</v>
      </c>
      <c r="N136" s="27">
        <f>SUM(H136:M136)</f>
        <v>907.62683800000002</v>
      </c>
      <c r="O136" s="28">
        <f>IF(O3&gt;0,N136/O3/12,0)</f>
        <v>1.8655642116600483E-2</v>
      </c>
    </row>
    <row r="137" spans="2:15" s="18" customFormat="1" ht="13.8" x14ac:dyDescent="0.3">
      <c r="B137" s="19"/>
      <c r="C137" s="20" t="s">
        <v>338</v>
      </c>
      <c r="D137" s="33" t="s">
        <v>339</v>
      </c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2:15" s="18" customFormat="1" ht="13.8" x14ac:dyDescent="0.3">
      <c r="B138" s="19"/>
      <c r="C138" s="20" t="s">
        <v>340</v>
      </c>
      <c r="D138" s="36" t="s">
        <v>341</v>
      </c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</row>
    <row r="139" spans="2:15" ht="41.4" x14ac:dyDescent="0.3">
      <c r="B139" s="21">
        <v>72</v>
      </c>
      <c r="C139" s="22" t="s">
        <v>342</v>
      </c>
      <c r="D139" s="23" t="s">
        <v>343</v>
      </c>
      <c r="E139" s="23" t="s">
        <v>337</v>
      </c>
      <c r="F139" s="24">
        <v>1</v>
      </c>
      <c r="G139" s="25">
        <v>0.3</v>
      </c>
      <c r="H139" s="26">
        <f>F139 * G139 * 320.32922</f>
        <v>96.098765999999998</v>
      </c>
      <c r="I139" s="26">
        <f>F139 * G139 * 0</f>
        <v>0</v>
      </c>
      <c r="J139" s="26">
        <f>F139 * G139 * 0</f>
        <v>0</v>
      </c>
      <c r="K139" s="26">
        <f>F139 * G139 * 305.017482999999</f>
        <v>91.505244899999695</v>
      </c>
      <c r="L139" s="26">
        <f>F139 * G139 * 72.733024</f>
        <v>21.819907199999999</v>
      </c>
      <c r="M139" s="26">
        <f>F139 * G139 * 64.065844</f>
        <v>19.2197532</v>
      </c>
      <c r="N139" s="27">
        <f>SUM(H139:M139)</f>
        <v>228.64367129999971</v>
      </c>
      <c r="O139" s="28">
        <f>IF(O3&gt;0,N139/O3/12,0)</f>
        <v>4.6996125780035952E-3</v>
      </c>
    </row>
    <row r="140" spans="2:15" ht="41.4" x14ac:dyDescent="0.3">
      <c r="B140" s="21">
        <v>73</v>
      </c>
      <c r="C140" s="22" t="s">
        <v>344</v>
      </c>
      <c r="D140" s="23" t="s">
        <v>345</v>
      </c>
      <c r="E140" s="23" t="s">
        <v>337</v>
      </c>
      <c r="F140" s="24">
        <v>3</v>
      </c>
      <c r="G140" s="25">
        <v>12</v>
      </c>
      <c r="H140" s="26">
        <f>F140 * G140 * 486.69624</f>
        <v>17521.064640000001</v>
      </c>
      <c r="I140" s="26">
        <f>F140 * G140 * 0</f>
        <v>0</v>
      </c>
      <c r="J140" s="26">
        <f>F140 * G140 * 0</f>
        <v>0</v>
      </c>
      <c r="K140" s="26">
        <f>F140 * G140 * 463.432159999999</f>
        <v>16683.557759999963</v>
      </c>
      <c r="L140" s="26">
        <f>F140 * G140 * 110.507837</f>
        <v>3978.2821319999998</v>
      </c>
      <c r="M140" s="26">
        <f>F140 * G140 * 97.339248</f>
        <v>3504.2129279999999</v>
      </c>
      <c r="N140" s="27">
        <f>SUM(H140:M140)</f>
        <v>41687.117459999965</v>
      </c>
      <c r="O140" s="28">
        <f>IF(O3&gt;0,N140/O3/12,0)</f>
        <v>0.85684987667414758</v>
      </c>
    </row>
    <row r="141" spans="2:15" s="18" customFormat="1" ht="13.8" x14ac:dyDescent="0.3">
      <c r="B141" s="19"/>
      <c r="C141" s="20" t="s">
        <v>346</v>
      </c>
      <c r="D141" s="33" t="s">
        <v>347</v>
      </c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</row>
    <row r="142" spans="2:15" ht="27.6" x14ac:dyDescent="0.3">
      <c r="B142" s="21">
        <v>74</v>
      </c>
      <c r="C142" s="22" t="s">
        <v>348</v>
      </c>
      <c r="D142" s="23" t="s">
        <v>349</v>
      </c>
      <c r="E142" s="23" t="s">
        <v>170</v>
      </c>
      <c r="F142" s="24">
        <v>1</v>
      </c>
      <c r="G142" s="25">
        <v>0.3</v>
      </c>
      <c r="H142" s="26">
        <f>F142 * G142 * 842.423709</f>
        <v>252.72711269999999</v>
      </c>
      <c r="I142" s="26">
        <f>F142 * G142 * 0</f>
        <v>0</v>
      </c>
      <c r="J142" s="26">
        <f>F142 * G142 * 0</f>
        <v>0</v>
      </c>
      <c r="K142" s="26">
        <f>F142 * G142 * 802.155856</f>
        <v>240.64675679999999</v>
      </c>
      <c r="L142" s="26">
        <f>F142 * G142 * 191.278285</f>
        <v>57.383485499999999</v>
      </c>
      <c r="M142" s="26">
        <f>F142 * G142 * 168.484742</f>
        <v>50.545422600000002</v>
      </c>
      <c r="N142" s="27">
        <f>SUM(H142:M142)</f>
        <v>601.30277760000001</v>
      </c>
      <c r="O142" s="28">
        <f>IF(O3&gt;0,N142/O3/12,0)</f>
        <v>1.2359362849320474E-2</v>
      </c>
    </row>
    <row r="143" spans="2:15" ht="27.6" x14ac:dyDescent="0.3">
      <c r="B143" s="21">
        <v>75</v>
      </c>
      <c r="C143" s="22" t="s">
        <v>350</v>
      </c>
      <c r="D143" s="23" t="s">
        <v>351</v>
      </c>
      <c r="E143" s="23" t="s">
        <v>170</v>
      </c>
      <c r="F143" s="24">
        <v>1</v>
      </c>
      <c r="G143" s="25">
        <v>0.3</v>
      </c>
      <c r="H143" s="26">
        <f>F143 * G143 * 842.423709</f>
        <v>252.72711269999999</v>
      </c>
      <c r="I143" s="26">
        <f>F143 * G143 * 0</f>
        <v>0</v>
      </c>
      <c r="J143" s="26">
        <f>F143 * G143 * 0</f>
        <v>0</v>
      </c>
      <c r="K143" s="26">
        <f>F143 * G143 * 802.155856</f>
        <v>240.64675679999999</v>
      </c>
      <c r="L143" s="26">
        <f>F143 * G143 * 191.278285</f>
        <v>57.383485499999999</v>
      </c>
      <c r="M143" s="26">
        <f>F143 * G143 * 168.484742</f>
        <v>50.545422600000002</v>
      </c>
      <c r="N143" s="27">
        <f>SUM(H143:M143)</f>
        <v>601.30277760000001</v>
      </c>
      <c r="O143" s="28">
        <f>IF(O3&gt;0,N143/O3/12,0)</f>
        <v>1.2359362849320474E-2</v>
      </c>
    </row>
    <row r="144" spans="2:15" s="15" customFormat="1" ht="14.4" x14ac:dyDescent="0.3">
      <c r="B144" s="16"/>
      <c r="C144" s="17" t="s">
        <v>352</v>
      </c>
      <c r="D144" s="35" t="s">
        <v>353</v>
      </c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</row>
    <row r="145" spans="2:15" ht="55.2" x14ac:dyDescent="0.3">
      <c r="B145" s="21">
        <v>76</v>
      </c>
      <c r="C145" s="22" t="s">
        <v>354</v>
      </c>
      <c r="D145" s="23" t="s">
        <v>355</v>
      </c>
      <c r="E145" s="23" t="s">
        <v>356</v>
      </c>
      <c r="F145" s="24">
        <v>4.0540000000000003</v>
      </c>
      <c r="G145" s="25">
        <v>3</v>
      </c>
      <c r="H145" s="26">
        <f>F145 * G145 * 3089.019488</f>
        <v>37568.655013055999</v>
      </c>
      <c r="I145" s="26">
        <f>F145 * G145 * 0</f>
        <v>0</v>
      </c>
      <c r="J145" s="26">
        <f>F145 * G145 * 0</f>
        <v>0</v>
      </c>
      <c r="K145" s="26">
        <f>F145 * G145 * 2941.364356</f>
        <v>35772.873297672006</v>
      </c>
      <c r="L145" s="26">
        <f>F145 * G145 * 701.383807</f>
        <v>8530.2298607340017</v>
      </c>
      <c r="M145" s="26">
        <f>F145 * G145 * 617.803898</f>
        <v>7513.7310074760007</v>
      </c>
      <c r="N145" s="27">
        <f>SUM(H145:M145)</f>
        <v>89385.489178938005</v>
      </c>
      <c r="O145" s="28">
        <f>IF(O3&gt;0,N145/O3/12,0)</f>
        <v>1.8372569284245124</v>
      </c>
    </row>
    <row r="146" spans="2:15" s="15" customFormat="1" ht="14.4" x14ac:dyDescent="0.3">
      <c r="B146" s="16"/>
      <c r="C146" s="17" t="s">
        <v>357</v>
      </c>
      <c r="D146" s="35" t="s">
        <v>358</v>
      </c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</row>
    <row r="147" spans="2:15" s="18" customFormat="1" ht="13.8" x14ac:dyDescent="0.3">
      <c r="B147" s="19"/>
      <c r="C147" s="20" t="s">
        <v>359</v>
      </c>
      <c r="D147" s="32" t="s">
        <v>360</v>
      </c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2:15" s="18" customFormat="1" ht="13.8" x14ac:dyDescent="0.3">
      <c r="B148" s="19"/>
      <c r="C148" s="20" t="s">
        <v>361</v>
      </c>
      <c r="D148" s="33" t="s">
        <v>362</v>
      </c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</row>
    <row r="149" spans="2:15" s="18" customFormat="1" ht="13.8" x14ac:dyDescent="0.3">
      <c r="B149" s="19"/>
      <c r="C149" s="20" t="s">
        <v>363</v>
      </c>
      <c r="D149" s="36" t="s">
        <v>364</v>
      </c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</row>
    <row r="150" spans="2:15" ht="41.4" x14ac:dyDescent="0.3">
      <c r="B150" s="21">
        <v>77</v>
      </c>
      <c r="C150" s="22" t="s">
        <v>365</v>
      </c>
      <c r="D150" s="23" t="s">
        <v>366</v>
      </c>
      <c r="E150" s="23" t="s">
        <v>367</v>
      </c>
      <c r="F150" s="24">
        <v>2.98</v>
      </c>
      <c r="G150" s="25">
        <v>104</v>
      </c>
      <c r="H150" s="26">
        <f>F150 * G150 * 211.011507</f>
        <v>65396.686249440005</v>
      </c>
      <c r="I150" s="26">
        <f>F150 * G150 * 0</f>
        <v>0</v>
      </c>
      <c r="J150" s="26">
        <f>F150 * G150 * 0</f>
        <v>0</v>
      </c>
      <c r="K150" s="26">
        <f>F150 * G150 * 200.925156999999</f>
        <v>62270.724657439692</v>
      </c>
      <c r="L150" s="26">
        <f>F150 * G150 * 47.9116609999999</f>
        <v>14848.78197711997</v>
      </c>
      <c r="M150" s="26">
        <f>F150 * G150 * 42.202301</f>
        <v>13079.337125919999</v>
      </c>
      <c r="N150" s="27">
        <f>SUM(H150:M150)</f>
        <v>155595.53000991966</v>
      </c>
      <c r="O150" s="28">
        <f>IF(O3&gt;0,N150/O3/12,0)</f>
        <v>3.1981585396969403</v>
      </c>
    </row>
    <row r="151" spans="2:15" ht="41.4" x14ac:dyDescent="0.3">
      <c r="B151" s="21">
        <v>78</v>
      </c>
      <c r="C151" s="22" t="s">
        <v>368</v>
      </c>
      <c r="D151" s="23" t="s">
        <v>369</v>
      </c>
      <c r="E151" s="23" t="s">
        <v>370</v>
      </c>
      <c r="F151" s="24">
        <v>1.97</v>
      </c>
      <c r="G151" s="25">
        <v>104</v>
      </c>
      <c r="H151" s="26">
        <f>F151 * G151 * 160.995555</f>
        <v>32984.769308399998</v>
      </c>
      <c r="I151" s="26">
        <f>F151 * G151 * 0</f>
        <v>0</v>
      </c>
      <c r="J151" s="26">
        <f>F151 * G151 * 0</f>
        <v>0</v>
      </c>
      <c r="K151" s="26">
        <f>F151 * G151 * 153.299967999999</f>
        <v>31408.097443839797</v>
      </c>
      <c r="L151" s="26">
        <f>F151 * G151 * 36.555184</f>
        <v>7489.4260979199989</v>
      </c>
      <c r="M151" s="26">
        <f>F151 * G151 * 32.199111</f>
        <v>6596.95386168</v>
      </c>
      <c r="N151" s="27">
        <f>SUM(H151:M151)</f>
        <v>78479.246711839791</v>
      </c>
      <c r="O151" s="28">
        <f>IF(O3&gt;0,N151/O3/12,0)</f>
        <v>1.613086655152961</v>
      </c>
    </row>
    <row r="152" spans="2:15" s="18" customFormat="1" ht="13.8" x14ac:dyDescent="0.3">
      <c r="B152" s="19"/>
      <c r="C152" s="20" t="s">
        <v>371</v>
      </c>
      <c r="D152" s="36" t="s">
        <v>372</v>
      </c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</row>
    <row r="153" spans="2:15" ht="27.6" x14ac:dyDescent="0.3">
      <c r="B153" s="21">
        <v>79</v>
      </c>
      <c r="C153" s="22" t="s">
        <v>373</v>
      </c>
      <c r="D153" s="23" t="s">
        <v>374</v>
      </c>
      <c r="E153" s="23" t="s">
        <v>370</v>
      </c>
      <c r="F153" s="24">
        <v>2.98</v>
      </c>
      <c r="G153" s="25">
        <v>24</v>
      </c>
      <c r="H153" s="26">
        <f>F153 * G153 * 482.986665</f>
        <v>34543.206280799997</v>
      </c>
      <c r="I153" s="26">
        <f>F153 * G153 * 75.30622</f>
        <v>5385.9008543999998</v>
      </c>
      <c r="J153" s="26">
        <f>F153 * G153 * 0</f>
        <v>0</v>
      </c>
      <c r="K153" s="26">
        <f>F153 * G153 * 459.899902</f>
        <v>32892.040991039998</v>
      </c>
      <c r="L153" s="26">
        <f>F153 * G153 * 117.610357999999</f>
        <v>8411.4928041599269</v>
      </c>
      <c r="M153" s="26">
        <f>F153 * G153 * 96.597333</f>
        <v>6908.64125616</v>
      </c>
      <c r="N153" s="27">
        <f>SUM(H153:M153)</f>
        <v>88141.28218655994</v>
      </c>
      <c r="O153" s="28">
        <f>IF(O3&gt;0,N153/O3/12,0)</f>
        <v>1.8116831139481526</v>
      </c>
    </row>
    <row r="154" spans="2:15" ht="27.6" x14ac:dyDescent="0.3">
      <c r="B154" s="21">
        <v>80</v>
      </c>
      <c r="C154" s="22" t="s">
        <v>375</v>
      </c>
      <c r="D154" s="23" t="s">
        <v>376</v>
      </c>
      <c r="E154" s="23" t="s">
        <v>367</v>
      </c>
      <c r="F154" s="24">
        <v>1.97</v>
      </c>
      <c r="G154" s="25">
        <v>24</v>
      </c>
      <c r="H154" s="26">
        <f>F154 * G154 * 389.823904</f>
        <v>18430.874181120002</v>
      </c>
      <c r="I154" s="26">
        <f>F154 * G154 * 75.30622</f>
        <v>3560.4780815999998</v>
      </c>
      <c r="J154" s="26">
        <f>F154 * G154 * 0</f>
        <v>0</v>
      </c>
      <c r="K154" s="26">
        <f>F154 * G154 * 371.190322</f>
        <v>17549.878424160001</v>
      </c>
      <c r="L154" s="26">
        <f>F154 * G154 * 96.457091</f>
        <v>4560.4912624799999</v>
      </c>
      <c r="M154" s="26">
        <f>F154 * G154 * 77.964781</f>
        <v>3686.1748456800001</v>
      </c>
      <c r="N154" s="27">
        <f>SUM(H154:M154)</f>
        <v>47787.896795039997</v>
      </c>
      <c r="O154" s="28">
        <f>IF(O3&gt;0,N154/O3/12,0)</f>
        <v>0.98224717779148063</v>
      </c>
    </row>
    <row r="155" spans="2:15" s="18" customFormat="1" ht="13.8" x14ac:dyDescent="0.3">
      <c r="B155" s="19"/>
      <c r="C155" s="20" t="s">
        <v>377</v>
      </c>
      <c r="D155" s="32" t="s">
        <v>378</v>
      </c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</row>
    <row r="156" spans="2:15" ht="27.6" x14ac:dyDescent="0.3">
      <c r="B156" s="21">
        <v>81</v>
      </c>
      <c r="C156" s="22" t="s">
        <v>379</v>
      </c>
      <c r="D156" s="23" t="s">
        <v>380</v>
      </c>
      <c r="E156" s="23" t="s">
        <v>38</v>
      </c>
      <c r="F156" s="24">
        <v>0.5</v>
      </c>
      <c r="G156" s="25">
        <v>2</v>
      </c>
      <c r="H156" s="26">
        <f>F156 * G156 * 193.194666</f>
        <v>193.19466600000001</v>
      </c>
      <c r="I156" s="26">
        <f>F156 * G156 * 9.683791</f>
        <v>9.6837909999999994</v>
      </c>
      <c r="J156" s="26">
        <f>F156 * G156 * 0</f>
        <v>0</v>
      </c>
      <c r="K156" s="26">
        <f>F156 * G156 * 183.959961</f>
        <v>183.95996099999999</v>
      </c>
      <c r="L156" s="26">
        <f>F156 * G156 * 44.887861</f>
        <v>44.887861000000001</v>
      </c>
      <c r="M156" s="26">
        <f>F156 * G156 * 38.638933</f>
        <v>38.638933000000002</v>
      </c>
      <c r="N156" s="27">
        <f>SUM(H156:M156)</f>
        <v>470.36521200000004</v>
      </c>
      <c r="O156" s="28">
        <f>IF(O3&gt;0,N156/O3/12,0)</f>
        <v>9.6680317194090225E-3</v>
      </c>
    </row>
    <row r="157" spans="2:15" ht="27.6" x14ac:dyDescent="0.3">
      <c r="B157" s="21">
        <v>82</v>
      </c>
      <c r="C157" s="22" t="s">
        <v>381</v>
      </c>
      <c r="D157" s="23" t="s">
        <v>382</v>
      </c>
      <c r="E157" s="23" t="s">
        <v>383</v>
      </c>
      <c r="F157" s="24">
        <v>0.08</v>
      </c>
      <c r="G157" s="25">
        <v>2</v>
      </c>
      <c r="H157" s="26">
        <f>F157 * G157 * 486.635898</f>
        <v>77.861743680000004</v>
      </c>
      <c r="I157" s="26">
        <f>F157 * G157 * 64.932615</f>
        <v>10.389218400000001</v>
      </c>
      <c r="J157" s="26">
        <f>F157 * G157 * 0</f>
        <v>0</v>
      </c>
      <c r="K157" s="26">
        <f>F157 * G157 * 463.374701999999</f>
        <v>74.139952319999836</v>
      </c>
      <c r="L157" s="26">
        <f>F157 * G157 * 117.344527</f>
        <v>18.77512432</v>
      </c>
      <c r="M157" s="26">
        <f>F157 * G157 * 97.32718</f>
        <v>15.5723488</v>
      </c>
      <c r="N157" s="27">
        <f>SUM(H157:M157)</f>
        <v>196.73838751999983</v>
      </c>
      <c r="O157" s="28">
        <f>IF(O3&gt;0,N157/O3/12,0)</f>
        <v>4.0438215294049907E-3</v>
      </c>
    </row>
    <row r="158" spans="2:15" s="18" customFormat="1" ht="13.8" x14ac:dyDescent="0.3">
      <c r="B158" s="19"/>
      <c r="C158" s="20" t="s">
        <v>384</v>
      </c>
      <c r="D158" s="32" t="s">
        <v>385</v>
      </c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</row>
    <row r="159" spans="2:15" ht="27.6" x14ac:dyDescent="0.3">
      <c r="B159" s="21">
        <v>83</v>
      </c>
      <c r="C159" s="22" t="s">
        <v>386</v>
      </c>
      <c r="D159" s="23" t="s">
        <v>387</v>
      </c>
      <c r="E159" s="23" t="s">
        <v>388</v>
      </c>
      <c r="F159" s="24">
        <v>0.48</v>
      </c>
      <c r="G159" s="25">
        <v>2</v>
      </c>
      <c r="H159" s="26">
        <f>F159 * G159 * 490.070469</f>
        <v>470.46765024000001</v>
      </c>
      <c r="I159" s="26">
        <f>F159 * G159 * 65.010635</f>
        <v>62.410209599999995</v>
      </c>
      <c r="J159" s="26">
        <f>F159 * G159 * 0</f>
        <v>0</v>
      </c>
      <c r="K159" s="26">
        <f>F159 * G159 * 466.645100999999</f>
        <v>447.97929695999903</v>
      </c>
      <c r="L159" s="26">
        <f>F159 * G159 * 118.132601</f>
        <v>113.40729696</v>
      </c>
      <c r="M159" s="26">
        <f>F159 * G159 * 98.014094</f>
        <v>94.093530239999993</v>
      </c>
      <c r="N159" s="27">
        <f>SUM(H159:M159)</f>
        <v>1188.3579839999991</v>
      </c>
      <c r="O159" s="28">
        <f>IF(O3&gt;0,N159/O3/12,0)</f>
        <v>2.4425876723478759E-2</v>
      </c>
    </row>
    <row r="160" spans="2:15" ht="27.6" x14ac:dyDescent="0.3">
      <c r="B160" s="21">
        <v>84</v>
      </c>
      <c r="C160" s="22" t="s">
        <v>389</v>
      </c>
      <c r="D160" s="23" t="s">
        <v>390</v>
      </c>
      <c r="E160" s="23" t="s">
        <v>391</v>
      </c>
      <c r="F160" s="24">
        <v>0.22</v>
      </c>
      <c r="G160" s="25">
        <v>2</v>
      </c>
      <c r="H160" s="26">
        <f>F160 * G160 * 468.604395</f>
        <v>206.18593380000002</v>
      </c>
      <c r="I160" s="26">
        <f>F160 * G160 * 65.010635</f>
        <v>28.604679399999998</v>
      </c>
      <c r="J160" s="26">
        <f>F160 * G160 * 0</f>
        <v>0</v>
      </c>
      <c r="K160" s="26">
        <f>F160 * G160 * 446.205105</f>
        <v>196.3302462</v>
      </c>
      <c r="L160" s="26">
        <f>F160 * G160 * 113.258577</f>
        <v>49.833773880000003</v>
      </c>
      <c r="M160" s="26">
        <f>F160 * G160 * 93.720879</f>
        <v>41.23718676</v>
      </c>
      <c r="N160" s="27">
        <f>SUM(H160:M160)</f>
        <v>522.19182004000004</v>
      </c>
      <c r="O160" s="28">
        <f>IF(O3&gt;0,N160/O3/12,0)</f>
        <v>1.0733291814452145E-2</v>
      </c>
    </row>
    <row r="161" spans="2:15" ht="27.6" x14ac:dyDescent="0.3">
      <c r="B161" s="21">
        <v>85</v>
      </c>
      <c r="C161" s="22" t="s">
        <v>392</v>
      </c>
      <c r="D161" s="23" t="s">
        <v>393</v>
      </c>
      <c r="E161" s="23" t="s">
        <v>394</v>
      </c>
      <c r="F161" s="24">
        <v>0.249</v>
      </c>
      <c r="G161" s="25">
        <v>2</v>
      </c>
      <c r="H161" s="26">
        <f>F161 * G161 * 719.113479</f>
        <v>358.11851254200002</v>
      </c>
      <c r="I161" s="26">
        <f>F161 * G161 * 159.203269</f>
        <v>79.283227961999998</v>
      </c>
      <c r="J161" s="26">
        <f>F161 * G161 * 0</f>
        <v>0</v>
      </c>
      <c r="K161" s="26">
        <f>F161 * G161 * 684.739854</f>
        <v>341.00044729199999</v>
      </c>
      <c r="L161" s="26">
        <f>F161 * G161 * 180.075765</f>
        <v>89.677730969999999</v>
      </c>
      <c r="M161" s="26">
        <f>F161 * G161 * 143.822696</f>
        <v>71.623702608000002</v>
      </c>
      <c r="N161" s="27">
        <f>SUM(H161:M161)</f>
        <v>939.70362137400002</v>
      </c>
      <c r="O161" s="28">
        <f>IF(O3&gt;0,N161/O3/12,0)</f>
        <v>1.9314958220777941E-2</v>
      </c>
    </row>
    <row r="162" spans="2:15" ht="27.6" x14ac:dyDescent="0.3">
      <c r="B162" s="21">
        <v>86</v>
      </c>
      <c r="C162" s="22" t="s">
        <v>395</v>
      </c>
      <c r="D162" s="23" t="s">
        <v>396</v>
      </c>
      <c r="E162" s="23" t="s">
        <v>394</v>
      </c>
      <c r="F162" s="24">
        <v>0.249</v>
      </c>
      <c r="G162" s="25">
        <v>2</v>
      </c>
      <c r="H162" s="26">
        <f>F162 * G162 * 948.800471</f>
        <v>472.50263455800001</v>
      </c>
      <c r="I162" s="26">
        <f>F162 * G162 * 159.203269</f>
        <v>79.283227961999998</v>
      </c>
      <c r="J162" s="26">
        <f>F162 * G162 * 0</f>
        <v>0</v>
      </c>
      <c r="K162" s="26">
        <f>F162 * G162 * 903.447808</f>
        <v>449.91700838399998</v>
      </c>
      <c r="L162" s="26">
        <f>F162 * G162 * 232.227828</f>
        <v>115.649458344</v>
      </c>
      <c r="M162" s="26">
        <f>F162 * G162 * 189.760094</f>
        <v>94.500526812000004</v>
      </c>
      <c r="N162" s="27">
        <f>SUM(H162:M162)</f>
        <v>1211.8528560600002</v>
      </c>
      <c r="O162" s="28">
        <f>IF(O3&gt;0,N162/O3/12,0)</f>
        <v>2.4908797574180505E-2</v>
      </c>
    </row>
    <row r="163" spans="2:15" s="18" customFormat="1" ht="13.8" x14ac:dyDescent="0.3">
      <c r="B163" s="19"/>
      <c r="C163" s="20" t="s">
        <v>397</v>
      </c>
      <c r="D163" s="32" t="s">
        <v>398</v>
      </c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</row>
    <row r="164" spans="2:15" s="18" customFormat="1" ht="13.8" x14ac:dyDescent="0.3">
      <c r="B164" s="19"/>
      <c r="C164" s="20" t="s">
        <v>399</v>
      </c>
      <c r="D164" s="33" t="s">
        <v>400</v>
      </c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</row>
    <row r="165" spans="2:15" x14ac:dyDescent="0.3">
      <c r="B165" s="21">
        <v>87</v>
      </c>
      <c r="C165" s="22" t="s">
        <v>401</v>
      </c>
      <c r="D165" s="23" t="s">
        <v>402</v>
      </c>
      <c r="E165" s="23" t="s">
        <v>403</v>
      </c>
      <c r="F165" s="24">
        <v>10</v>
      </c>
      <c r="G165" s="25">
        <v>2</v>
      </c>
      <c r="H165" s="26">
        <f>F165 * G165 * 158.2752</f>
        <v>3165.5040000000004</v>
      </c>
      <c r="I165" s="26">
        <f>F165 * G165 * 56.6585</f>
        <v>1133.1699999999998</v>
      </c>
      <c r="J165" s="26">
        <f>F165 * G165 * 0</f>
        <v>0</v>
      </c>
      <c r="K165" s="26">
        <f>F165 * G165 * 150.709645</f>
        <v>3014.1929</v>
      </c>
      <c r="L165" s="26">
        <f>F165 * G165 * 41.91498</f>
        <v>838.29960000000005</v>
      </c>
      <c r="M165" s="26">
        <f>F165 * G165 * 31.65504</f>
        <v>633.10079999999994</v>
      </c>
      <c r="N165" s="27">
        <f>SUM(H165:M165)</f>
        <v>8784.2672999999995</v>
      </c>
      <c r="O165" s="28">
        <f>IF(O3&gt;0,N165/O3/12,0)</f>
        <v>0.18055454085785461</v>
      </c>
    </row>
    <row r="166" spans="2:15" s="18" customFormat="1" ht="13.8" x14ac:dyDescent="0.3">
      <c r="B166" s="19"/>
      <c r="C166" s="20" t="s">
        <v>404</v>
      </c>
      <c r="D166" s="32" t="s">
        <v>405</v>
      </c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</row>
    <row r="167" spans="2:15" ht="27.6" x14ac:dyDescent="0.3">
      <c r="B167" s="21">
        <v>88</v>
      </c>
      <c r="C167" s="22" t="s">
        <v>406</v>
      </c>
      <c r="D167" s="23" t="s">
        <v>407</v>
      </c>
      <c r="E167" s="23" t="s">
        <v>408</v>
      </c>
      <c r="F167" s="24">
        <v>4</v>
      </c>
      <c r="G167" s="25">
        <v>2</v>
      </c>
      <c r="H167" s="26">
        <f>F167 * G167 * 229.04301</f>
        <v>1832.3440800000001</v>
      </c>
      <c r="I167" s="26">
        <f>F167 * G167 * 45.83252</f>
        <v>366.66016000000002</v>
      </c>
      <c r="J167" s="26">
        <f>F167 * G167 * 0</f>
        <v>0</v>
      </c>
      <c r="K167" s="26">
        <f>F167 * G167 * 218.094755</f>
        <v>1744.7580399999999</v>
      </c>
      <c r="L167" s="26">
        <f>F167 * G167 * 56.841172</f>
        <v>454.729376</v>
      </c>
      <c r="M167" s="26">
        <f>F167 * G167 * 45.808602</f>
        <v>366.468816</v>
      </c>
      <c r="N167" s="27">
        <f>SUM(H167:M167)</f>
        <v>4764.9604719999998</v>
      </c>
      <c r="O167" s="28">
        <f>IF(O3&gt;0,N167/O3/12,0)</f>
        <v>9.7940467980498061E-2</v>
      </c>
    </row>
    <row r="168" spans="2:15" ht="41.4" x14ac:dyDescent="0.3">
      <c r="B168" s="21">
        <v>89</v>
      </c>
      <c r="C168" s="22" t="s">
        <v>409</v>
      </c>
      <c r="D168" s="23" t="s">
        <v>410</v>
      </c>
      <c r="E168" s="23" t="s">
        <v>411</v>
      </c>
      <c r="F168" s="24">
        <v>0.22</v>
      </c>
      <c r="G168" s="25">
        <v>2</v>
      </c>
      <c r="H168" s="26">
        <f>F168 * G168 * 289.791999</f>
        <v>127.50847955999998</v>
      </c>
      <c r="I168" s="26">
        <f>F168 * G168 * 45.83252</f>
        <v>20.166308799999999</v>
      </c>
      <c r="J168" s="26">
        <f>F168 * G168 * 0</f>
        <v>0</v>
      </c>
      <c r="K168" s="26">
        <f>F168 * G168 * 275.939941</f>
        <v>121.41357403999999</v>
      </c>
      <c r="L168" s="26">
        <f>F168 * G168 * 70.634661</f>
        <v>31.079250839999997</v>
      </c>
      <c r="M168" s="26">
        <f>F168 * G168 * 57.9584</f>
        <v>25.501695999999999</v>
      </c>
      <c r="N168" s="27">
        <f>SUM(H168:M168)</f>
        <v>325.6693092399999</v>
      </c>
      <c r="O168" s="28">
        <f>IF(O3&gt;0,N168/O3/12,0)</f>
        <v>6.6939074817683256E-3</v>
      </c>
    </row>
    <row r="169" spans="2:15" ht="27.6" x14ac:dyDescent="0.3">
      <c r="B169" s="21">
        <v>90</v>
      </c>
      <c r="C169" s="22" t="s">
        <v>412</v>
      </c>
      <c r="D169" s="23" t="s">
        <v>413</v>
      </c>
      <c r="E169" s="23" t="s">
        <v>414</v>
      </c>
      <c r="F169" s="24">
        <v>0.08</v>
      </c>
      <c r="G169" s="25">
        <v>2</v>
      </c>
      <c r="H169" s="26">
        <f>F169 * G169 * 390.038565</f>
        <v>62.406170400000001</v>
      </c>
      <c r="I169" s="26">
        <f>F169 * G169 * 45.83252</f>
        <v>7.3332032000000007</v>
      </c>
      <c r="J169" s="26">
        <f>F169 * G169 * 0</f>
        <v>0</v>
      </c>
      <c r="K169" s="26">
        <f>F169 * G169 * 371.394721</f>
        <v>59.423155360000003</v>
      </c>
      <c r="L169" s="26">
        <f>F169 * G169 * 93.396357</f>
        <v>14.943417119999999</v>
      </c>
      <c r="M169" s="26">
        <f>F169 * G169 * 78.007713</f>
        <v>12.48123408</v>
      </c>
      <c r="N169" s="27">
        <f>SUM(H169:M169)</f>
        <v>156.58718016</v>
      </c>
      <c r="O169" s="28">
        <f>IF(O3&gt;0,N169/O3/12,0)</f>
        <v>3.2185412228991441E-3</v>
      </c>
    </row>
    <row r="170" spans="2:15" s="15" customFormat="1" ht="14.4" x14ac:dyDescent="0.3">
      <c r="B170" s="16"/>
      <c r="C170" s="17" t="s">
        <v>415</v>
      </c>
      <c r="D170" s="35" t="s">
        <v>416</v>
      </c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</row>
    <row r="171" spans="2:15" s="18" customFormat="1" ht="13.8" x14ac:dyDescent="0.3">
      <c r="B171" s="19"/>
      <c r="C171" s="20" t="s">
        <v>417</v>
      </c>
      <c r="D171" s="32" t="s">
        <v>418</v>
      </c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</row>
    <row r="172" spans="2:15" ht="27.6" x14ac:dyDescent="0.3">
      <c r="B172" s="21">
        <v>91</v>
      </c>
      <c r="C172" s="22" t="s">
        <v>419</v>
      </c>
      <c r="D172" s="23" t="s">
        <v>420</v>
      </c>
      <c r="E172" s="23" t="s">
        <v>421</v>
      </c>
      <c r="F172" s="24">
        <v>0.5</v>
      </c>
      <c r="G172" s="25">
        <v>123.5</v>
      </c>
      <c r="H172" s="26">
        <f>F172 * G172 * 330.39948</f>
        <v>20402.167890000001</v>
      </c>
      <c r="I172" s="26">
        <f>F172 * G172 * 1.608528</f>
        <v>99.326604000000003</v>
      </c>
      <c r="J172" s="26">
        <f>F172 * G172 * 0</f>
        <v>0</v>
      </c>
      <c r="K172" s="26">
        <f>F172 * G172 * 314.606385</f>
        <v>19426.944273749999</v>
      </c>
      <c r="L172" s="26">
        <f>F172 * G172 * 75.189247</f>
        <v>4642.9360022499995</v>
      </c>
      <c r="M172" s="26">
        <f>F172 * G172 * 66.079896</f>
        <v>4080.4335780000001</v>
      </c>
      <c r="N172" s="27">
        <f>SUM(H172:M172)</f>
        <v>48651.808348000006</v>
      </c>
      <c r="O172" s="28">
        <f>IF(O3&gt;0,N172/O3/12,0)</f>
        <v>1.0000042824490871</v>
      </c>
    </row>
    <row r="173" spans="2:15" s="18" customFormat="1" ht="13.8" x14ac:dyDescent="0.3">
      <c r="B173" s="19"/>
      <c r="C173" s="20" t="s">
        <v>422</v>
      </c>
      <c r="D173" s="32" t="s">
        <v>423</v>
      </c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</row>
    <row r="174" spans="2:15" s="18" customFormat="1" ht="13.8" x14ac:dyDescent="0.3">
      <c r="B174" s="19"/>
      <c r="C174" s="20" t="s">
        <v>424</v>
      </c>
      <c r="D174" s="33" t="s">
        <v>425</v>
      </c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</row>
    <row r="175" spans="2:15" ht="27.6" x14ac:dyDescent="0.3">
      <c r="B175" s="21">
        <v>92</v>
      </c>
      <c r="C175" s="22" t="s">
        <v>426</v>
      </c>
      <c r="D175" s="23" t="s">
        <v>427</v>
      </c>
      <c r="E175" s="23" t="s">
        <v>428</v>
      </c>
      <c r="F175" s="24">
        <v>3.0000000000000001E-3</v>
      </c>
      <c r="G175" s="25">
        <v>2</v>
      </c>
      <c r="H175" s="26">
        <f>F175 * G175 * 230818.65948</f>
        <v>1384.9119568799999</v>
      </c>
      <c r="I175" s="26">
        <f>F175 * G175 * 1115.955216</f>
        <v>6.6957312960000008</v>
      </c>
      <c r="J175" s="26">
        <f>F175 * G175 * 0</f>
        <v>0</v>
      </c>
      <c r="K175" s="26">
        <f>F175 * G175 * 219785.527557</f>
        <v>1318.7131653419999</v>
      </c>
      <c r="L175" s="26">
        <f>F175 * G175 * 52526.748723</f>
        <v>315.16049233799998</v>
      </c>
      <c r="M175" s="26">
        <f>F175 * G175 * 46163.731896</f>
        <v>276.98239137600001</v>
      </c>
      <c r="N175" s="27">
        <f>SUM(H175:M175)</f>
        <v>3302.4637372320003</v>
      </c>
      <c r="O175" s="28">
        <f>IF(O3&gt;0,N175/O3/12,0)</f>
        <v>6.7879858776114257E-2</v>
      </c>
    </row>
    <row r="176" spans="2:15" x14ac:dyDescent="0.3">
      <c r="B176" s="21">
        <v>93</v>
      </c>
      <c r="C176" s="22" t="s">
        <v>429</v>
      </c>
      <c r="D176" s="23" t="s">
        <v>430</v>
      </c>
      <c r="E176" s="23" t="s">
        <v>431</v>
      </c>
      <c r="F176" s="24">
        <v>3.0000000000000001E-3</v>
      </c>
      <c r="G176" s="25">
        <v>123.5</v>
      </c>
      <c r="H176" s="26">
        <f>F176 * G176 * 25389.32052</f>
        <v>9406.7432526600005</v>
      </c>
      <c r="I176" s="26">
        <f>F176 * G176 * 124.5312</f>
        <v>46.138809600000002</v>
      </c>
      <c r="J176" s="26">
        <f>F176 * G176 * 0</f>
        <v>0</v>
      </c>
      <c r="K176" s="26">
        <f>F176 * G176 * 24175.710999</f>
        <v>8957.1009251295</v>
      </c>
      <c r="L176" s="26">
        <f>F176 * G176 * 5777.96353</f>
        <v>2140.7354878649999</v>
      </c>
      <c r="M176" s="26">
        <f>F176 * G176 * 5077.864104</f>
        <v>1881.348650532</v>
      </c>
      <c r="N176" s="27">
        <f>SUM(H176:M176)</f>
        <v>22432.0671257865</v>
      </c>
      <c r="O176" s="28">
        <f>IF(O3&gt;0,N176/O3/12,0)</f>
        <v>0.46107563010849589</v>
      </c>
    </row>
    <row r="177" spans="2:15" x14ac:dyDescent="0.3">
      <c r="B177" s="21">
        <v>94</v>
      </c>
      <c r="C177" s="22" t="s">
        <v>432</v>
      </c>
      <c r="D177" s="23" t="s">
        <v>433</v>
      </c>
      <c r="E177" s="23" t="s">
        <v>434</v>
      </c>
      <c r="F177" s="24">
        <v>3.3</v>
      </c>
      <c r="G177" s="25">
        <v>2</v>
      </c>
      <c r="H177" s="26">
        <f>F177 * G177 * 210.367525</f>
        <v>1388.425665</v>
      </c>
      <c r="I177" s="26">
        <f>F177 * G177 * 31.1328</f>
        <v>205.47647999999998</v>
      </c>
      <c r="J177" s="26">
        <f>F177 * G177 * 25.994925</f>
        <v>171.56650499999998</v>
      </c>
      <c r="K177" s="26">
        <f>F177 * G177 * 200.311957</f>
        <v>1322.0589161999999</v>
      </c>
      <c r="L177" s="26">
        <f>F177 * G177 * 53.792416</f>
        <v>355.02994560000002</v>
      </c>
      <c r="M177" s="26">
        <f>F177 * G177 * 42.073505</f>
        <v>277.68513299999995</v>
      </c>
      <c r="N177" s="27">
        <f>SUM(H177:M177)</f>
        <v>3720.2426447999997</v>
      </c>
      <c r="O177" s="28">
        <f>IF(O3&gt;0,N177/O3/12,0)</f>
        <v>7.6467015366401089E-2</v>
      </c>
    </row>
    <row r="178" spans="2:15" s="18" customFormat="1" ht="13.8" x14ac:dyDescent="0.3">
      <c r="B178" s="19"/>
      <c r="C178" s="20" t="s">
        <v>435</v>
      </c>
      <c r="D178" s="33" t="s">
        <v>436</v>
      </c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</row>
    <row r="179" spans="2:15" x14ac:dyDescent="0.3">
      <c r="B179" s="21">
        <v>95</v>
      </c>
      <c r="C179" s="22" t="s">
        <v>437</v>
      </c>
      <c r="D179" s="23" t="s">
        <v>438</v>
      </c>
      <c r="E179" s="23" t="s">
        <v>439</v>
      </c>
      <c r="F179" s="24">
        <v>0.02</v>
      </c>
      <c r="G179" s="25">
        <v>123.5</v>
      </c>
      <c r="H179" s="26">
        <f>F179 * G179 * 476.80404</f>
        <v>1177.7059788000001</v>
      </c>
      <c r="I179" s="26">
        <f>F179 * G179 * 518.88</f>
        <v>1281.6336000000001</v>
      </c>
      <c r="J179" s="26">
        <f>F179 * G179 * 0</f>
        <v>0</v>
      </c>
      <c r="K179" s="26">
        <f>F179 * G179 * 454.012806999999</f>
        <v>1121.4116332899976</v>
      </c>
      <c r="L179" s="26">
        <f>F179 * G179 * 163.003582</f>
        <v>402.61884753999999</v>
      </c>
      <c r="M179" s="26">
        <f>F179 * G179 * 95.360808</f>
        <v>235.54119576000002</v>
      </c>
      <c r="N179" s="27">
        <f>SUM(H179:M179)</f>
        <v>4218.9112553899977</v>
      </c>
      <c r="O179" s="28">
        <f>IF(O3&gt;0,N179/O3/12,0)</f>
        <v>8.6716803874692661E-2</v>
      </c>
    </row>
    <row r="180" spans="2:15" s="18" customFormat="1" ht="13.8" x14ac:dyDescent="0.3">
      <c r="B180" s="19"/>
      <c r="C180" s="20" t="s">
        <v>440</v>
      </c>
      <c r="D180" s="32" t="s">
        <v>441</v>
      </c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</row>
    <row r="181" spans="2:15" ht="41.4" x14ac:dyDescent="0.3">
      <c r="B181" s="21">
        <v>96</v>
      </c>
      <c r="C181" s="22" t="s">
        <v>442</v>
      </c>
      <c r="D181" s="23" t="s">
        <v>443</v>
      </c>
      <c r="E181" s="23" t="s">
        <v>444</v>
      </c>
      <c r="F181" s="24">
        <v>0.05</v>
      </c>
      <c r="G181" s="25">
        <v>93.5</v>
      </c>
      <c r="H181" s="26">
        <f>F181 * G181 * 5276.49948</f>
        <v>24667.635069</v>
      </c>
      <c r="I181" s="26">
        <f>F181 * G181 * 0</f>
        <v>0</v>
      </c>
      <c r="J181" s="26">
        <f>F181 * G181 * 0</f>
        <v>0</v>
      </c>
      <c r="K181" s="26">
        <f>F181 * G181 * 5024.282805</f>
        <v>23488.522113374998</v>
      </c>
      <c r="L181" s="26">
        <f>F181 * G181 * 1198.06667</f>
        <v>5600.9616822499993</v>
      </c>
      <c r="M181" s="26">
        <f>F181 * G181 * 1055.299896</f>
        <v>4933.5270137999996</v>
      </c>
      <c r="N181" s="27">
        <f>SUM(H181:M181)</f>
        <v>58690.645878424992</v>
      </c>
      <c r="O181" s="28">
        <f>IF(O3&gt;0,N181/O3/12,0)</f>
        <v>1.2063456469761527</v>
      </c>
    </row>
    <row r="182" spans="2:15" s="18" customFormat="1" ht="13.8" x14ac:dyDescent="0.3">
      <c r="B182" s="19"/>
      <c r="C182" s="20" t="s">
        <v>445</v>
      </c>
      <c r="D182" s="32" t="s">
        <v>446</v>
      </c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</row>
    <row r="183" spans="2:15" ht="41.4" x14ac:dyDescent="0.3">
      <c r="B183" s="21">
        <v>97</v>
      </c>
      <c r="C183" s="22" t="s">
        <v>447</v>
      </c>
      <c r="D183" s="23" t="s">
        <v>448</v>
      </c>
      <c r="E183" s="23" t="s">
        <v>444</v>
      </c>
      <c r="F183" s="24">
        <v>0.05</v>
      </c>
      <c r="G183" s="25">
        <v>30</v>
      </c>
      <c r="H183" s="26">
        <f>F183 * G183 * 23410.88052</f>
        <v>35116.320779999995</v>
      </c>
      <c r="I183" s="26">
        <f>F183 * G183 * 0</f>
        <v>0</v>
      </c>
      <c r="J183" s="26">
        <f>F183 * G183 * 0</f>
        <v>0</v>
      </c>
      <c r="K183" s="26">
        <f>F183 * G183 * 22291.840431</f>
        <v>33437.760646499999</v>
      </c>
      <c r="L183" s="26">
        <f>F183 * G183 * 5315.606639</f>
        <v>7973.4099584999994</v>
      </c>
      <c r="M183" s="26">
        <f>F183 * G183 * 4682.176104</f>
        <v>7023.2641560000002</v>
      </c>
      <c r="N183" s="27">
        <f>SUM(H183:M183)</f>
        <v>83550.755540999991</v>
      </c>
      <c r="O183" s="28">
        <f>IF(O3&gt;0,N183/O3/12,0)</f>
        <v>1.7173280126655648</v>
      </c>
    </row>
    <row r="184" spans="2:15" s="18" customFormat="1" ht="13.8" x14ac:dyDescent="0.3">
      <c r="B184" s="19"/>
      <c r="C184" s="20" t="s">
        <v>449</v>
      </c>
      <c r="D184" s="32" t="s">
        <v>450</v>
      </c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</row>
    <row r="185" spans="2:15" ht="41.4" x14ac:dyDescent="0.3">
      <c r="B185" s="21">
        <v>98</v>
      </c>
      <c r="C185" s="22" t="s">
        <v>451</v>
      </c>
      <c r="D185" s="23" t="s">
        <v>452</v>
      </c>
      <c r="E185" s="23" t="s">
        <v>444</v>
      </c>
      <c r="F185" s="24">
        <v>0.05</v>
      </c>
      <c r="G185" s="25">
        <v>15</v>
      </c>
      <c r="H185" s="26">
        <f>F185 * G185 * 147724.17948</f>
        <v>110793.13460999999</v>
      </c>
      <c r="I185" s="26">
        <f>F185 * G185 * 0</f>
        <v>0</v>
      </c>
      <c r="J185" s="26">
        <f>F185 * G185 * 0</f>
        <v>0</v>
      </c>
      <c r="K185" s="26">
        <f>F185 * G185 * 140662.963701</f>
        <v>105497.22277575001</v>
      </c>
      <c r="L185" s="26">
        <f>F185 * G185 * 33541.8237919999</f>
        <v>25156.367843999928</v>
      </c>
      <c r="M185" s="26">
        <f>F185 * G185 * 29544.835896</f>
        <v>22158.626921999999</v>
      </c>
      <c r="N185" s="27">
        <f>SUM(H185:M185)</f>
        <v>263605.35215174995</v>
      </c>
      <c r="O185" s="28">
        <f>IF(O3&gt;0,N185/O3/12,0)</f>
        <v>5.4182257552012665</v>
      </c>
    </row>
    <row r="186" spans="2:15" x14ac:dyDescent="0.3">
      <c r="B186" s="21">
        <v>99</v>
      </c>
      <c r="C186" s="22" t="s">
        <v>453</v>
      </c>
      <c r="D186" s="23" t="s">
        <v>454</v>
      </c>
      <c r="E186" s="23" t="s">
        <v>70</v>
      </c>
      <c r="F186" s="24">
        <v>5</v>
      </c>
      <c r="G186" s="25">
        <v>20</v>
      </c>
      <c r="H186" s="26">
        <f>F186 * G186 * 49.461</f>
        <v>4946.0999999999995</v>
      </c>
      <c r="I186" s="26">
        <f>F186 * G186 * 52.76205</f>
        <v>5276.2049999999999</v>
      </c>
      <c r="J186" s="26">
        <f>F186 * G186 * 0</f>
        <v>0</v>
      </c>
      <c r="K186" s="26">
        <f>F186 * G186 * 47.096764</f>
        <v>4709.6764000000003</v>
      </c>
      <c r="L186" s="26">
        <f>F186 * G186 * 16.796867</f>
        <v>1679.6867</v>
      </c>
      <c r="M186" s="26">
        <f>F186 * G186 * 9.8922</f>
        <v>989.22</v>
      </c>
      <c r="N186" s="27">
        <f>SUM(H186:M186)</f>
        <v>17600.8881</v>
      </c>
      <c r="O186" s="28">
        <f>IF(O3&gt;0,N186/O3/12,0)</f>
        <v>0.36177408553881069</v>
      </c>
    </row>
    <row r="187" spans="2:15" ht="27.6" x14ac:dyDescent="0.3">
      <c r="B187" s="21">
        <v>100</v>
      </c>
      <c r="C187" s="22" t="s">
        <v>455</v>
      </c>
      <c r="D187" s="23" t="s">
        <v>456</v>
      </c>
      <c r="E187" s="23" t="s">
        <v>457</v>
      </c>
      <c r="F187" s="24">
        <v>1</v>
      </c>
      <c r="G187" s="25">
        <v>10</v>
      </c>
      <c r="H187" s="26">
        <f>F187 * G187 * 209.71464</f>
        <v>2097.1464000000001</v>
      </c>
      <c r="I187" s="26">
        <f>F187 * G187 * 0</f>
        <v>0</v>
      </c>
      <c r="J187" s="26">
        <f>F187 * G187 * 0</f>
        <v>0</v>
      </c>
      <c r="K187" s="26">
        <f>F187 * G187 * 199.69028</f>
        <v>1996.9028000000001</v>
      </c>
      <c r="L187" s="26">
        <f>F187 * G187 * 47.617198</f>
        <v>476.17198000000002</v>
      </c>
      <c r="M187" s="26">
        <f>F187 * G187 * 41.942928</f>
        <v>419.42928000000001</v>
      </c>
      <c r="N187" s="27">
        <f>SUM(H187:M187)</f>
        <v>4989.6504600000007</v>
      </c>
      <c r="O187" s="28">
        <f>IF(O3&gt;0,N187/O3/12,0)</f>
        <v>0.10255881533186988</v>
      </c>
    </row>
    <row r="188" spans="2:15" s="18" customFormat="1" ht="13.8" x14ac:dyDescent="0.3">
      <c r="B188" s="19"/>
      <c r="C188" s="20" t="s">
        <v>458</v>
      </c>
      <c r="D188" s="32" t="s">
        <v>459</v>
      </c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</row>
    <row r="189" spans="2:15" ht="27.6" x14ac:dyDescent="0.3">
      <c r="B189" s="21">
        <v>101</v>
      </c>
      <c r="C189" s="22" t="s">
        <v>460</v>
      </c>
      <c r="D189" s="23" t="s">
        <v>461</v>
      </c>
      <c r="E189" s="23" t="s">
        <v>462</v>
      </c>
      <c r="F189" s="24">
        <v>16.170000000000002</v>
      </c>
      <c r="G189" s="25">
        <v>2</v>
      </c>
      <c r="H189" s="26">
        <f>F189 * G189 * 771.5916</f>
        <v>24953.272344000001</v>
      </c>
      <c r="I189" s="26">
        <f>F189 * G189 * 0</f>
        <v>0</v>
      </c>
      <c r="J189" s="26">
        <f>F189 * G189 * 0</f>
        <v>0</v>
      </c>
      <c r="K189" s="26">
        <f>F189 * G189 * 734.709522</f>
        <v>23760.505941480002</v>
      </c>
      <c r="L189" s="26">
        <f>F189 * G189 * 175.195351</f>
        <v>5665.8176513400003</v>
      </c>
      <c r="M189" s="26">
        <f>F189 * G189 * 154.31832</f>
        <v>4990.6544688000004</v>
      </c>
      <c r="N189" s="27">
        <f>SUM(H189:M189)</f>
        <v>59370.250405620005</v>
      </c>
      <c r="O189" s="28">
        <f>IF(O3&gt;0,N189/O3/12,0)</f>
        <v>1.2203144481501123</v>
      </c>
    </row>
    <row r="190" spans="2:15" ht="27.6" x14ac:dyDescent="0.3">
      <c r="B190" s="21">
        <v>102</v>
      </c>
      <c r="C190" s="22" t="s">
        <v>463</v>
      </c>
      <c r="D190" s="23" t="s">
        <v>464</v>
      </c>
      <c r="E190" s="23" t="s">
        <v>462</v>
      </c>
      <c r="F190" s="24">
        <v>16.170000000000002</v>
      </c>
      <c r="G190" s="25">
        <v>2</v>
      </c>
      <c r="H190" s="26">
        <f>F190 * G190 * 98.922</f>
        <v>3199.1374800000003</v>
      </c>
      <c r="I190" s="26">
        <f>F190 * G190 * 0</f>
        <v>0</v>
      </c>
      <c r="J190" s="26">
        <f>F190 * G190 * 0</f>
        <v>0</v>
      </c>
      <c r="K190" s="26">
        <f>F190 * G190 * 94.193528</f>
        <v>3046.2186955200004</v>
      </c>
      <c r="L190" s="26">
        <f>F190 * G190 * 22.460943</f>
        <v>726.38689662000013</v>
      </c>
      <c r="M190" s="26">
        <f>F190 * G190 * 19.7844</f>
        <v>639.82749600000011</v>
      </c>
      <c r="N190" s="27">
        <f>SUM(H190:M190)</f>
        <v>7611.5705681400004</v>
      </c>
      <c r="O190" s="28">
        <f>IF(O3&gt;0,N190/O3/12,0)</f>
        <v>0.15645057034383247</v>
      </c>
    </row>
    <row r="191" spans="2:15" x14ac:dyDescent="0.3">
      <c r="B191" s="21">
        <v>103</v>
      </c>
      <c r="C191" s="22" t="s">
        <v>465</v>
      </c>
      <c r="D191" s="23" t="s">
        <v>466</v>
      </c>
      <c r="E191" s="23" t="s">
        <v>467</v>
      </c>
      <c r="F191" s="24">
        <v>16.170000000000002</v>
      </c>
      <c r="G191" s="25">
        <v>2</v>
      </c>
      <c r="H191" s="26">
        <f>F191 * G191 * 237.4128</f>
        <v>7677.9299520000013</v>
      </c>
      <c r="I191" s="26">
        <f>F191 * G191 * 0</f>
        <v>0</v>
      </c>
      <c r="J191" s="26">
        <f>F191 * G191 * 0</f>
        <v>0</v>
      </c>
      <c r="K191" s="26">
        <f>F191 * G191 * 226.064468</f>
        <v>7310.9248951200007</v>
      </c>
      <c r="L191" s="26">
        <f>F191 * G191 * 53.906262</f>
        <v>1743.3285130800002</v>
      </c>
      <c r="M191" s="26">
        <f>F191 * G191 * 47.48256</f>
        <v>1535.5859904000001</v>
      </c>
      <c r="N191" s="27">
        <f>SUM(H191:M191)</f>
        <v>18267.7693506</v>
      </c>
      <c r="O191" s="28">
        <f>IF(O3&gt;0,N191/O3/12,0)</f>
        <v>0.37548136855930742</v>
      </c>
    </row>
    <row r="192" spans="2:15" x14ac:dyDescent="0.3">
      <c r="B192" s="21">
        <v>104</v>
      </c>
      <c r="C192" s="22" t="s">
        <v>468</v>
      </c>
      <c r="D192" s="23" t="s">
        <v>469</v>
      </c>
      <c r="E192" s="23" t="s">
        <v>470</v>
      </c>
      <c r="F192" s="24">
        <v>50</v>
      </c>
      <c r="G192" s="25">
        <v>2</v>
      </c>
      <c r="H192" s="26">
        <f>F192 * G192 * 115.085855</f>
        <v>11508.585499999999</v>
      </c>
      <c r="I192" s="26">
        <f>F192 * G192 * 0</f>
        <v>0</v>
      </c>
      <c r="J192" s="26">
        <f>F192 * G192 * 0</f>
        <v>0</v>
      </c>
      <c r="K192" s="26">
        <f>F192 * G192 * 109.584751</f>
        <v>10958.4751</v>
      </c>
      <c r="L192" s="26">
        <f>F192 * G192 * 26.131061</f>
        <v>2613.1061</v>
      </c>
      <c r="M192" s="26">
        <f>F192 * G192 * 23.017171</f>
        <v>2301.7171000000003</v>
      </c>
      <c r="N192" s="27">
        <f>SUM(H192:M192)</f>
        <v>27381.8838</v>
      </c>
      <c r="O192" s="28">
        <f>IF(O3&gt;0,N192/O3/12,0)</f>
        <v>0.56281568951483607</v>
      </c>
    </row>
    <row r="193" spans="2:15" s="18" customFormat="1" ht="13.8" x14ac:dyDescent="0.3">
      <c r="B193" s="19"/>
      <c r="C193" s="20" t="s">
        <v>471</v>
      </c>
      <c r="D193" s="32" t="s">
        <v>472</v>
      </c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</row>
    <row r="194" spans="2:15" ht="27.6" x14ac:dyDescent="0.3">
      <c r="B194" s="21">
        <v>105</v>
      </c>
      <c r="C194" s="22" t="s">
        <v>473</v>
      </c>
      <c r="D194" s="23" t="s">
        <v>474</v>
      </c>
      <c r="E194" s="23" t="s">
        <v>475</v>
      </c>
      <c r="F194" s="24">
        <v>0.27500000000000002</v>
      </c>
      <c r="G194" s="25">
        <v>5</v>
      </c>
      <c r="H194" s="26">
        <f>F194 * G194 * 0</f>
        <v>0</v>
      </c>
      <c r="I194" s="26">
        <f>F194 * G194 * 0</f>
        <v>0</v>
      </c>
      <c r="J194" s="26">
        <f>F194 * G194 * 96.768837</f>
        <v>133.05715087500002</v>
      </c>
      <c r="K194" s="26">
        <f>F194 * G194 * 62.417035</f>
        <v>85.823423125000005</v>
      </c>
      <c r="L194" s="26">
        <f>F194 * G194 * 18.177222</f>
        <v>24.993680250000001</v>
      </c>
      <c r="M194" s="26">
        <f>F194 * G194 * 13.110068</f>
        <v>18.026343499999999</v>
      </c>
      <c r="N194" s="27">
        <f>SUM(H194:M194)</f>
        <v>261.90059775000003</v>
      </c>
      <c r="O194" s="28">
        <f>IF(O3&gt;0,N194/O3/12,0)</f>
        <v>5.3831857071504332E-3</v>
      </c>
    </row>
    <row r="195" spans="2:15" x14ac:dyDescent="0.3">
      <c r="B195" s="21">
        <v>106</v>
      </c>
      <c r="C195" s="22" t="s">
        <v>476</v>
      </c>
      <c r="D195" s="23" t="s">
        <v>477</v>
      </c>
      <c r="E195" s="23" t="s">
        <v>478</v>
      </c>
      <c r="F195" s="24">
        <v>300</v>
      </c>
      <c r="G195" s="25">
        <v>1</v>
      </c>
      <c r="H195" s="26">
        <f>F195 * G195 * 0</f>
        <v>0</v>
      </c>
      <c r="I195" s="26">
        <f>F195 * G195 * 0</f>
        <v>0</v>
      </c>
      <c r="J195" s="26">
        <f>F195 * G195 * 4.928851</f>
        <v>1478.6552999999999</v>
      </c>
      <c r="K195" s="26">
        <f>F195 * G195 * 2.90845</f>
        <v>872.53500000000008</v>
      </c>
      <c r="L195" s="26">
        <f>F195 * G195 * 0.891284</f>
        <v>267.3852</v>
      </c>
      <c r="M195" s="26">
        <f>F195 * G195 * 0.610891</f>
        <v>183.26729999999998</v>
      </c>
      <c r="N195" s="27">
        <f>SUM(H195:M195)</f>
        <v>2801.8428000000004</v>
      </c>
      <c r="O195" s="28">
        <f>IF(O3&gt;0,N195/O3/12,0)</f>
        <v>5.7589941543546359E-2</v>
      </c>
    </row>
    <row r="196" spans="2:15" ht="27.6" x14ac:dyDescent="0.3">
      <c r="B196" s="21">
        <v>107</v>
      </c>
      <c r="C196" s="22" t="s">
        <v>479</v>
      </c>
      <c r="D196" s="23" t="s">
        <v>480</v>
      </c>
      <c r="E196" s="23" t="s">
        <v>73</v>
      </c>
      <c r="F196" s="24">
        <v>0.3</v>
      </c>
      <c r="G196" s="25">
        <v>123.5</v>
      </c>
      <c r="H196" s="26">
        <f>F196 * G196 * 273.02472</f>
        <v>10115.565875999999</v>
      </c>
      <c r="I196" s="26">
        <f>F196 * G196 * 0</f>
        <v>0</v>
      </c>
      <c r="J196" s="26">
        <f>F196 * G196 * 0</f>
        <v>0</v>
      </c>
      <c r="K196" s="26">
        <f>F196 * G196 * 259.974138</f>
        <v>9632.0418128999991</v>
      </c>
      <c r="L196" s="26">
        <f>F196 * G196 * 61.9922009999999</f>
        <v>2296.811047049996</v>
      </c>
      <c r="M196" s="26">
        <f>F196 * G196 * 54.604944</f>
        <v>2023.1131751999999</v>
      </c>
      <c r="N196" s="27">
        <f>SUM(H196:M196)</f>
        <v>24067.531911149992</v>
      </c>
      <c r="O196" s="28">
        <f>IF(O3&gt;0,N196/O3/12,0)</f>
        <v>0.49469147800175106</v>
      </c>
    </row>
    <row r="197" spans="2:15" ht="27.6" x14ac:dyDescent="0.3">
      <c r="B197" s="21">
        <v>108</v>
      </c>
      <c r="C197" s="22" t="s">
        <v>481</v>
      </c>
      <c r="D197" s="23" t="s">
        <v>482</v>
      </c>
      <c r="E197" s="23" t="s">
        <v>73</v>
      </c>
      <c r="F197" s="24">
        <v>0.3</v>
      </c>
      <c r="G197" s="25">
        <v>123.5</v>
      </c>
      <c r="H197" s="26">
        <f>F197 * G197 * 50.45022</f>
        <v>1869.1806509999999</v>
      </c>
      <c r="I197" s="26">
        <f>F197 * G197 * 0.243874</f>
        <v>9.0355316999999999</v>
      </c>
      <c r="J197" s="26">
        <f>F197 * G197 * 0</f>
        <v>0</v>
      </c>
      <c r="K197" s="26">
        <f>F197 * G197 * 48.0386989999999</f>
        <v>1779.8337979499963</v>
      </c>
      <c r="L197" s="26">
        <f>F197 * G197 * 11.480809</f>
        <v>425.36397345</v>
      </c>
      <c r="M197" s="26">
        <f>F197 * G197 * 10.090044</f>
        <v>373.83613020000001</v>
      </c>
      <c r="N197" s="27">
        <f>SUM(H197:M197)</f>
        <v>4457.2500842999971</v>
      </c>
      <c r="O197" s="28">
        <f>IF(O3&gt;0,N197/O3/12,0)</f>
        <v>9.1615693714081278E-2</v>
      </c>
    </row>
    <row r="198" spans="2:15" s="15" customFormat="1" ht="14.4" x14ac:dyDescent="0.3">
      <c r="B198" s="16"/>
      <c r="C198" s="17" t="s">
        <v>483</v>
      </c>
      <c r="D198" s="35" t="s">
        <v>484</v>
      </c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</row>
    <row r="199" spans="2:15" s="18" customFormat="1" ht="13.8" x14ac:dyDescent="0.3">
      <c r="B199" s="19"/>
      <c r="C199" s="20" t="s">
        <v>485</v>
      </c>
      <c r="D199" s="32" t="s">
        <v>486</v>
      </c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</row>
    <row r="200" spans="2:15" ht="41.4" x14ac:dyDescent="0.3">
      <c r="B200" s="21">
        <v>109</v>
      </c>
      <c r="C200" s="22" t="s">
        <v>487</v>
      </c>
      <c r="D200" s="23" t="s">
        <v>488</v>
      </c>
      <c r="E200" s="23" t="s">
        <v>489</v>
      </c>
      <c r="F200" s="24">
        <v>2.5540000000000003</v>
      </c>
      <c r="G200" s="25">
        <v>2</v>
      </c>
      <c r="H200" s="26">
        <f>F200 * G200 * 1314.00071</f>
        <v>6711.915626680001</v>
      </c>
      <c r="I200" s="26">
        <f>F200 * G200 * 59.5584</f>
        <v>304.2243072</v>
      </c>
      <c r="J200" s="26">
        <f>F200 * G200 * 0</f>
        <v>0</v>
      </c>
      <c r="K200" s="26">
        <f>F200 * G200 * 1251.191477</f>
        <v>6391.086064516001</v>
      </c>
      <c r="L200" s="26">
        <f>F200 * G200 * 304.636602</f>
        <v>1556.0837630160001</v>
      </c>
      <c r="M200" s="26">
        <f>F200 * G200 * 262.800142</f>
        <v>1342.3831253360001</v>
      </c>
      <c r="N200" s="27">
        <f>SUM(H200:M200)</f>
        <v>16305.692886748004</v>
      </c>
      <c r="O200" s="28">
        <f>IF(O3&gt;0,N200/O3/12,0)</f>
        <v>0.33515224343594047</v>
      </c>
    </row>
    <row r="201" spans="2:15" ht="41.4" x14ac:dyDescent="0.3">
      <c r="B201" s="21">
        <v>110</v>
      </c>
      <c r="C201" s="22" t="s">
        <v>490</v>
      </c>
      <c r="D201" s="23" t="s">
        <v>491</v>
      </c>
      <c r="E201" s="23" t="s">
        <v>489</v>
      </c>
      <c r="F201" s="24">
        <v>0.93700000000000006</v>
      </c>
      <c r="G201" s="25">
        <v>2</v>
      </c>
      <c r="H201" s="26">
        <f>F201 * G201 * 936.225506</f>
        <v>1754.4865982440001</v>
      </c>
      <c r="I201" s="26">
        <f>F201 * G201 * 564</f>
        <v>1056.9360000000001</v>
      </c>
      <c r="J201" s="26">
        <f>F201 * G201 * 0</f>
        <v>0</v>
      </c>
      <c r="K201" s="26">
        <f>F201 * G201 * 891.473927</f>
        <v>1670.622139198</v>
      </c>
      <c r="L201" s="26">
        <f>F201 * G201 * 272.078649</f>
        <v>509.87538822599998</v>
      </c>
      <c r="M201" s="26">
        <f>F201 * G201 * 187.245101</f>
        <v>350.89731927400004</v>
      </c>
      <c r="N201" s="27">
        <f>SUM(H201:M201)</f>
        <v>5342.8174449420003</v>
      </c>
      <c r="O201" s="28">
        <f>IF(O3&gt;0,N201/O3/12,0)</f>
        <v>0.10981791852563945</v>
      </c>
    </row>
    <row r="202" spans="2:15" s="18" customFormat="1" ht="13.8" x14ac:dyDescent="0.3">
      <c r="B202" s="19"/>
      <c r="C202" s="20" t="s">
        <v>492</v>
      </c>
      <c r="D202" s="32" t="s">
        <v>493</v>
      </c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</row>
    <row r="203" spans="2:15" s="18" customFormat="1" ht="13.8" x14ac:dyDescent="0.3">
      <c r="B203" s="19"/>
      <c r="C203" s="20" t="s">
        <v>494</v>
      </c>
      <c r="D203" s="33" t="s">
        <v>495</v>
      </c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</row>
    <row r="204" spans="2:15" ht="82.8" x14ac:dyDescent="0.3">
      <c r="B204" s="21">
        <v>111</v>
      </c>
      <c r="C204" s="22" t="s">
        <v>496</v>
      </c>
      <c r="D204" s="23" t="s">
        <v>355</v>
      </c>
      <c r="E204" s="23" t="s">
        <v>497</v>
      </c>
      <c r="F204" s="24">
        <v>4.0540000000000003</v>
      </c>
      <c r="G204" s="25">
        <v>3</v>
      </c>
      <c r="H204" s="26">
        <f>F204 * G204 * 2922.124225</f>
        <v>35538.874824450002</v>
      </c>
      <c r="I204" s="26">
        <f>F204 * G204 * 0</f>
        <v>0</v>
      </c>
      <c r="J204" s="26">
        <f>F204 * G204 * 0</f>
        <v>0</v>
      </c>
      <c r="K204" s="26">
        <f>F204 * G204 * 2782.446687</f>
        <v>33840.116607294003</v>
      </c>
      <c r="L204" s="26">
        <f>F204 * G204 * 663.489053</f>
        <v>8069.353862586001</v>
      </c>
      <c r="M204" s="26">
        <f>F204 * G204 * 584.424845</f>
        <v>7107.7749648900008</v>
      </c>
      <c r="N204" s="27">
        <f>SUM(H204:M204)</f>
        <v>84556.120259220013</v>
      </c>
      <c r="O204" s="28">
        <f>IF(O3&gt;0,N204/O3/12,0)</f>
        <v>1.7379925893335473</v>
      </c>
    </row>
    <row r="205" spans="2:15" s="29" customFormat="1" ht="19.95" customHeight="1" x14ac:dyDescent="0.3">
      <c r="B205" s="34" t="s">
        <v>498</v>
      </c>
      <c r="C205" s="34"/>
      <c r="D205" s="34"/>
      <c r="E205" s="34"/>
      <c r="F205" s="34"/>
      <c r="G205" s="34"/>
      <c r="H205" s="30">
        <f t="shared" ref="H205:O205" si="3">SUM(H4:H204)</f>
        <v>773708.27334612724</v>
      </c>
      <c r="I205" s="30">
        <f t="shared" si="3"/>
        <v>166808.85944730564</v>
      </c>
      <c r="J205" s="30">
        <f t="shared" si="3"/>
        <v>1820.1303999749998</v>
      </c>
      <c r="K205" s="30">
        <f t="shared" si="3"/>
        <v>737690.93511242326</v>
      </c>
      <c r="L205" s="30">
        <f t="shared" si="3"/>
        <v>193589.62354193185</v>
      </c>
      <c r="M205" s="30">
        <f t="shared" si="3"/>
        <v>154944.53590264029</v>
      </c>
      <c r="N205" s="30">
        <f t="shared" si="3"/>
        <v>2028562.357750403</v>
      </c>
      <c r="O205" s="31">
        <f t="shared" si="3"/>
        <v>41.695696703713828</v>
      </c>
    </row>
  </sheetData>
  <mergeCells count="94">
    <mergeCell ref="B2:L3"/>
    <mergeCell ref="M2:N2"/>
    <mergeCell ref="M3:N3"/>
    <mergeCell ref="D4:O4"/>
    <mergeCell ref="D5:O5"/>
    <mergeCell ref="D7:O7"/>
    <mergeCell ref="D9:O9"/>
    <mergeCell ref="D16:O16"/>
    <mergeCell ref="D17:O17"/>
    <mergeCell ref="D18:O18"/>
    <mergeCell ref="D21:O21"/>
    <mergeCell ref="D22:O22"/>
    <mergeCell ref="D24:O24"/>
    <mergeCell ref="D29:O29"/>
    <mergeCell ref="D31:O31"/>
    <mergeCell ref="D32:O32"/>
    <mergeCell ref="D33:O33"/>
    <mergeCell ref="D35:O35"/>
    <mergeCell ref="D37:O37"/>
    <mergeCell ref="D39:O39"/>
    <mergeCell ref="D40:O40"/>
    <mergeCell ref="D47:O47"/>
    <mergeCell ref="D48:O48"/>
    <mergeCell ref="D50:O50"/>
    <mergeCell ref="D51:O51"/>
    <mergeCell ref="D52:O52"/>
    <mergeCell ref="D54:O54"/>
    <mergeCell ref="D55:O55"/>
    <mergeCell ref="D57:O57"/>
    <mergeCell ref="D59:O59"/>
    <mergeCell ref="D60:O60"/>
    <mergeCell ref="D62:O62"/>
    <mergeCell ref="D64:O64"/>
    <mergeCell ref="D65:O65"/>
    <mergeCell ref="D67:O67"/>
    <mergeCell ref="D68:O68"/>
    <mergeCell ref="D69:O69"/>
    <mergeCell ref="D73:O73"/>
    <mergeCell ref="D75:O75"/>
    <mergeCell ref="D77:O77"/>
    <mergeCell ref="D78:O78"/>
    <mergeCell ref="D80:O80"/>
    <mergeCell ref="D82:O82"/>
    <mergeCell ref="D83:O83"/>
    <mergeCell ref="D87:O87"/>
    <mergeCell ref="D88:O88"/>
    <mergeCell ref="D89:O89"/>
    <mergeCell ref="D91:O91"/>
    <mergeCell ref="D92:O92"/>
    <mergeCell ref="D96:O96"/>
    <mergeCell ref="D97:O97"/>
    <mergeCell ref="D101:O101"/>
    <mergeCell ref="D104:O104"/>
    <mergeCell ref="D106:O106"/>
    <mergeCell ref="D111:O111"/>
    <mergeCell ref="D115:O115"/>
    <mergeCell ref="D117:O117"/>
    <mergeCell ref="D118:O118"/>
    <mergeCell ref="D122:O122"/>
    <mergeCell ref="D124:O124"/>
    <mergeCell ref="D126:O126"/>
    <mergeCell ref="D128:O128"/>
    <mergeCell ref="D130:O130"/>
    <mergeCell ref="D131:O131"/>
    <mergeCell ref="D135:O135"/>
    <mergeCell ref="D137:O137"/>
    <mergeCell ref="D138:O138"/>
    <mergeCell ref="D141:O141"/>
    <mergeCell ref="D144:O144"/>
    <mergeCell ref="D146:O146"/>
    <mergeCell ref="D147:O147"/>
    <mergeCell ref="D148:O148"/>
    <mergeCell ref="D149:O149"/>
    <mergeCell ref="D152:O152"/>
    <mergeCell ref="D155:O155"/>
    <mergeCell ref="D158:O158"/>
    <mergeCell ref="D163:O163"/>
    <mergeCell ref="D164:O164"/>
    <mergeCell ref="D166:O166"/>
    <mergeCell ref="D170:O170"/>
    <mergeCell ref="D171:O171"/>
    <mergeCell ref="D173:O173"/>
    <mergeCell ref="D174:O174"/>
    <mergeCell ref="D178:O178"/>
    <mergeCell ref="D180:O180"/>
    <mergeCell ref="D199:O199"/>
    <mergeCell ref="D202:O202"/>
    <mergeCell ref="D203:O203"/>
    <mergeCell ref="B205:G205"/>
    <mergeCell ref="D182:O182"/>
    <mergeCell ref="D184:O184"/>
    <mergeCell ref="D188:O188"/>
    <mergeCell ref="D193:O193"/>
    <mergeCell ref="D198:O198"/>
  </mergeCells>
  <pageMargins left="0.7" right="0.7" top="0.75" bottom="0.75" header="0.3" footer="0.3"/>
  <pageSetup paperSize="9" fitToHeight="0" orientation="landscape" horizontalDpi="4294967295" verticalDpi="4294967295"/>
  <headerFooter>
    <oddHeader>&amp;C&amp;KCCCCCC&amp;"Arial"1.12. МКД коридорного типа с газоснабжением, с уборкой мест общего пользования и придомовой территории ООО Квартал 2026</oddHeader>
    <oddFooter>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Смета!Заголовки_для_печати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1.12. МКД коридорного типа с газоснабжением, с уборкой мест общего пользования и придомовой территории ООО Квартал 2026</dc:title>
  <dc:subject/>
  <dc:creator/>
  <cp:keywords/>
  <dc:description/>
  <cp:lastModifiedBy/>
  <cp:lastPrinted>2025-12-09T12:43:49Z</cp:lastPrinted>
  <dcterms:created xsi:type="dcterms:W3CDTF">2025-12-09T12:43:49Z</dcterms:created>
  <dcterms:modified xsi:type="dcterms:W3CDTF">2025-12-09T12:46:30Z</dcterms:modified>
  <cp:category/>
</cp:coreProperties>
</file>