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3040" windowHeight="9384"/>
  </bookViews>
  <sheets>
    <sheet name="Смета" sheetId="1" r:id="rId1"/>
  </sheets>
  <definedNames>
    <definedName name="_xlnm.Print_Titles" localSheetId="0">Смета!$1:$1</definedName>
  </definedNames>
  <calcPr calcId="152511"/>
</workbook>
</file>

<file path=xl/calcChain.xml><?xml version="1.0" encoding="utf-8"?>
<calcChain xmlns="http://schemas.openxmlformats.org/spreadsheetml/2006/main">
  <c r="M361" i="1" l="1"/>
  <c r="L361" i="1"/>
  <c r="K361" i="1"/>
  <c r="J361" i="1"/>
  <c r="I361" i="1"/>
  <c r="H361" i="1"/>
  <c r="M360" i="1"/>
  <c r="L360" i="1"/>
  <c r="K360" i="1"/>
  <c r="J360" i="1"/>
  <c r="I360" i="1"/>
  <c r="H360" i="1"/>
  <c r="N360" i="1" s="1"/>
  <c r="O360" i="1" s="1"/>
  <c r="M356" i="1"/>
  <c r="L356" i="1"/>
  <c r="K356" i="1"/>
  <c r="J356" i="1"/>
  <c r="I356" i="1"/>
  <c r="H356" i="1"/>
  <c r="M355" i="1"/>
  <c r="L355" i="1"/>
  <c r="K355" i="1"/>
  <c r="J355" i="1"/>
  <c r="I355" i="1"/>
  <c r="H355" i="1"/>
  <c r="N355" i="1" s="1"/>
  <c r="O355" i="1" s="1"/>
  <c r="M354" i="1"/>
  <c r="L354" i="1"/>
  <c r="K354" i="1"/>
  <c r="J354" i="1"/>
  <c r="I354" i="1"/>
  <c r="H354" i="1"/>
  <c r="M351" i="1"/>
  <c r="L351" i="1"/>
  <c r="K351" i="1"/>
  <c r="J351" i="1"/>
  <c r="I351" i="1"/>
  <c r="H351" i="1"/>
  <c r="N351" i="1" s="1"/>
  <c r="O351" i="1" s="1"/>
  <c r="M350" i="1"/>
  <c r="L350" i="1"/>
  <c r="K350" i="1"/>
  <c r="J350" i="1"/>
  <c r="I350" i="1"/>
  <c r="H350" i="1"/>
  <c r="M347" i="1"/>
  <c r="L347" i="1"/>
  <c r="K347" i="1"/>
  <c r="J347" i="1"/>
  <c r="I347" i="1"/>
  <c r="H347" i="1"/>
  <c r="N347" i="1" s="1"/>
  <c r="O347" i="1" s="1"/>
  <c r="M346" i="1"/>
  <c r="L346" i="1"/>
  <c r="K346" i="1"/>
  <c r="J346" i="1"/>
  <c r="I346" i="1"/>
  <c r="H346" i="1"/>
  <c r="M344" i="1"/>
  <c r="L344" i="1"/>
  <c r="K344" i="1"/>
  <c r="J344" i="1"/>
  <c r="I344" i="1"/>
  <c r="H344" i="1"/>
  <c r="N344" i="1" s="1"/>
  <c r="O344" i="1" s="1"/>
  <c r="M343" i="1"/>
  <c r="L343" i="1"/>
  <c r="K343" i="1"/>
  <c r="J343" i="1"/>
  <c r="I343" i="1"/>
  <c r="H343" i="1"/>
  <c r="M342" i="1"/>
  <c r="L342" i="1"/>
  <c r="K342" i="1"/>
  <c r="J342" i="1"/>
  <c r="I342" i="1"/>
  <c r="H342" i="1"/>
  <c r="N342" i="1" s="1"/>
  <c r="O342" i="1" s="1"/>
  <c r="M341" i="1"/>
  <c r="L341" i="1"/>
  <c r="K341" i="1"/>
  <c r="J341" i="1"/>
  <c r="I341" i="1"/>
  <c r="H341" i="1"/>
  <c r="M338" i="1"/>
  <c r="L338" i="1"/>
  <c r="K338" i="1"/>
  <c r="J338" i="1"/>
  <c r="I338" i="1"/>
  <c r="H338" i="1"/>
  <c r="N338" i="1" s="1"/>
  <c r="O338" i="1" s="1"/>
  <c r="M337" i="1"/>
  <c r="L337" i="1"/>
  <c r="K337" i="1"/>
  <c r="J337" i="1"/>
  <c r="I337" i="1"/>
  <c r="H337" i="1"/>
  <c r="M336" i="1"/>
  <c r="L336" i="1"/>
  <c r="K336" i="1"/>
  <c r="J336" i="1"/>
  <c r="I336" i="1"/>
  <c r="H336" i="1"/>
  <c r="N336" i="1" s="1"/>
  <c r="O336" i="1" s="1"/>
  <c r="M335" i="1"/>
  <c r="L335" i="1"/>
  <c r="K335" i="1"/>
  <c r="J335" i="1"/>
  <c r="I335" i="1"/>
  <c r="H335" i="1"/>
  <c r="M334" i="1"/>
  <c r="L334" i="1"/>
  <c r="K334" i="1"/>
  <c r="J334" i="1"/>
  <c r="I334" i="1"/>
  <c r="H334" i="1"/>
  <c r="N334" i="1" s="1"/>
  <c r="O334" i="1" s="1"/>
  <c r="M333" i="1"/>
  <c r="L333" i="1"/>
  <c r="K333" i="1"/>
  <c r="J333" i="1"/>
  <c r="I333" i="1"/>
  <c r="H333" i="1"/>
  <c r="M331" i="1"/>
  <c r="L331" i="1"/>
  <c r="K331" i="1"/>
  <c r="J331" i="1"/>
  <c r="I331" i="1"/>
  <c r="H331" i="1"/>
  <c r="N331" i="1" s="1"/>
  <c r="O331" i="1" s="1"/>
  <c r="M330" i="1"/>
  <c r="L330" i="1"/>
  <c r="K330" i="1"/>
  <c r="J330" i="1"/>
  <c r="I330" i="1"/>
  <c r="H330" i="1"/>
  <c r="M328" i="1"/>
  <c r="L328" i="1"/>
  <c r="K328" i="1"/>
  <c r="J328" i="1"/>
  <c r="I328" i="1"/>
  <c r="H328" i="1"/>
  <c r="N328" i="1" s="1"/>
  <c r="O328" i="1" s="1"/>
  <c r="M327" i="1"/>
  <c r="L327" i="1"/>
  <c r="K327" i="1"/>
  <c r="J327" i="1"/>
  <c r="I327" i="1"/>
  <c r="H327" i="1"/>
  <c r="M326" i="1"/>
  <c r="L326" i="1"/>
  <c r="K326" i="1"/>
  <c r="J326" i="1"/>
  <c r="I326" i="1"/>
  <c r="H326" i="1"/>
  <c r="N326" i="1" s="1"/>
  <c r="O326" i="1" s="1"/>
  <c r="M324" i="1"/>
  <c r="L324" i="1"/>
  <c r="K324" i="1"/>
  <c r="J324" i="1"/>
  <c r="I324" i="1"/>
  <c r="H324" i="1"/>
  <c r="M322" i="1"/>
  <c r="L322" i="1"/>
  <c r="K322" i="1"/>
  <c r="J322" i="1"/>
  <c r="I322" i="1"/>
  <c r="H322" i="1"/>
  <c r="N322" i="1" s="1"/>
  <c r="O322" i="1" s="1"/>
  <c r="M321" i="1"/>
  <c r="L321" i="1"/>
  <c r="K321" i="1"/>
  <c r="J321" i="1"/>
  <c r="I321" i="1"/>
  <c r="H321" i="1"/>
  <c r="M319" i="1"/>
  <c r="L319" i="1"/>
  <c r="K319" i="1"/>
  <c r="J319" i="1"/>
  <c r="I319" i="1"/>
  <c r="H319" i="1"/>
  <c r="N319" i="1" s="1"/>
  <c r="O319" i="1" s="1"/>
  <c r="M318" i="1"/>
  <c r="L318" i="1"/>
  <c r="K318" i="1"/>
  <c r="J318" i="1"/>
  <c r="I318" i="1"/>
  <c r="H318" i="1"/>
  <c r="M317" i="1"/>
  <c r="L317" i="1"/>
  <c r="K317" i="1"/>
  <c r="J317" i="1"/>
  <c r="I317" i="1"/>
  <c r="H317" i="1"/>
  <c r="N317" i="1" s="1"/>
  <c r="O317" i="1" s="1"/>
  <c r="M316" i="1"/>
  <c r="L316" i="1"/>
  <c r="K316" i="1"/>
  <c r="J316" i="1"/>
  <c r="I316" i="1"/>
  <c r="H316" i="1"/>
  <c r="M315" i="1"/>
  <c r="L315" i="1"/>
  <c r="K315" i="1"/>
  <c r="J315" i="1"/>
  <c r="I315" i="1"/>
  <c r="H315" i="1"/>
  <c r="N315" i="1" s="1"/>
  <c r="O315" i="1" s="1"/>
  <c r="M313" i="1"/>
  <c r="L313" i="1"/>
  <c r="K313" i="1"/>
  <c r="J313" i="1"/>
  <c r="I313" i="1"/>
  <c r="H313" i="1"/>
  <c r="M312" i="1"/>
  <c r="L312" i="1"/>
  <c r="K312" i="1"/>
  <c r="J312" i="1"/>
  <c r="I312" i="1"/>
  <c r="H312" i="1"/>
  <c r="N312" i="1" s="1"/>
  <c r="O312" i="1" s="1"/>
  <c r="M311" i="1"/>
  <c r="L311" i="1"/>
  <c r="K311" i="1"/>
  <c r="J311" i="1"/>
  <c r="I311" i="1"/>
  <c r="H311" i="1"/>
  <c r="M310" i="1"/>
  <c r="L310" i="1"/>
  <c r="K310" i="1"/>
  <c r="J310" i="1"/>
  <c r="I310" i="1"/>
  <c r="H310" i="1"/>
  <c r="N310" i="1" s="1"/>
  <c r="O310" i="1" s="1"/>
  <c r="M309" i="1"/>
  <c r="L309" i="1"/>
  <c r="K309" i="1"/>
  <c r="J309" i="1"/>
  <c r="I309" i="1"/>
  <c r="H309" i="1"/>
  <c r="M307" i="1"/>
  <c r="L307" i="1"/>
  <c r="K307" i="1"/>
  <c r="J307" i="1"/>
  <c r="I307" i="1"/>
  <c r="H307" i="1"/>
  <c r="N307" i="1" s="1"/>
  <c r="O307" i="1" s="1"/>
  <c r="M305" i="1"/>
  <c r="L305" i="1"/>
  <c r="K305" i="1"/>
  <c r="J305" i="1"/>
  <c r="I305" i="1"/>
  <c r="H305" i="1"/>
  <c r="M303" i="1"/>
  <c r="L303" i="1"/>
  <c r="K303" i="1"/>
  <c r="J303" i="1"/>
  <c r="I303" i="1"/>
  <c r="H303" i="1"/>
  <c r="N303" i="1" s="1"/>
  <c r="O303" i="1" s="1"/>
  <c r="M301" i="1"/>
  <c r="L301" i="1"/>
  <c r="K301" i="1"/>
  <c r="J301" i="1"/>
  <c r="I301" i="1"/>
  <c r="H301" i="1"/>
  <c r="M300" i="1"/>
  <c r="L300" i="1"/>
  <c r="K300" i="1"/>
  <c r="J300" i="1"/>
  <c r="I300" i="1"/>
  <c r="H300" i="1"/>
  <c r="N300" i="1" s="1"/>
  <c r="O300" i="1" s="1"/>
  <c r="M299" i="1"/>
  <c r="L299" i="1"/>
  <c r="K299" i="1"/>
  <c r="J299" i="1"/>
  <c r="I299" i="1"/>
  <c r="H299" i="1"/>
  <c r="M296" i="1"/>
  <c r="L296" i="1"/>
  <c r="K296" i="1"/>
  <c r="J296" i="1"/>
  <c r="I296" i="1"/>
  <c r="H296" i="1"/>
  <c r="N296" i="1" s="1"/>
  <c r="O296" i="1" s="1"/>
  <c r="M293" i="1"/>
  <c r="L293" i="1"/>
  <c r="K293" i="1"/>
  <c r="J293" i="1"/>
  <c r="I293" i="1"/>
  <c r="H293" i="1"/>
  <c r="M292" i="1"/>
  <c r="L292" i="1"/>
  <c r="K292" i="1"/>
  <c r="J292" i="1"/>
  <c r="I292" i="1"/>
  <c r="H292" i="1"/>
  <c r="N292" i="1" s="1"/>
  <c r="O292" i="1" s="1"/>
  <c r="M291" i="1"/>
  <c r="L291" i="1"/>
  <c r="K291" i="1"/>
  <c r="J291" i="1"/>
  <c r="I291" i="1"/>
  <c r="H291" i="1"/>
  <c r="M290" i="1"/>
  <c r="L290" i="1"/>
  <c r="K290" i="1"/>
  <c r="J290" i="1"/>
  <c r="I290" i="1"/>
  <c r="H290" i="1"/>
  <c r="N290" i="1" s="1"/>
  <c r="O290" i="1" s="1"/>
  <c r="M289" i="1"/>
  <c r="L289" i="1"/>
  <c r="K289" i="1"/>
  <c r="J289" i="1"/>
  <c r="I289" i="1"/>
  <c r="H289" i="1"/>
  <c r="M288" i="1"/>
  <c r="L288" i="1"/>
  <c r="K288" i="1"/>
  <c r="J288" i="1"/>
  <c r="I288" i="1"/>
  <c r="H288" i="1"/>
  <c r="N288" i="1" s="1"/>
  <c r="O288" i="1" s="1"/>
  <c r="M287" i="1"/>
  <c r="L287" i="1"/>
  <c r="K287" i="1"/>
  <c r="J287" i="1"/>
  <c r="I287" i="1"/>
  <c r="H287" i="1"/>
  <c r="M285" i="1"/>
  <c r="L285" i="1"/>
  <c r="K285" i="1"/>
  <c r="J285" i="1"/>
  <c r="I285" i="1"/>
  <c r="H285" i="1"/>
  <c r="N285" i="1" s="1"/>
  <c r="O285" i="1" s="1"/>
  <c r="M284" i="1"/>
  <c r="L284" i="1"/>
  <c r="K284" i="1"/>
  <c r="J284" i="1"/>
  <c r="I284" i="1"/>
  <c r="H284" i="1"/>
  <c r="M281" i="1"/>
  <c r="L281" i="1"/>
  <c r="K281" i="1"/>
  <c r="J281" i="1"/>
  <c r="I281" i="1"/>
  <c r="H281" i="1"/>
  <c r="N281" i="1" s="1"/>
  <c r="O281" i="1" s="1"/>
  <c r="M280" i="1"/>
  <c r="L280" i="1"/>
  <c r="K280" i="1"/>
  <c r="J280" i="1"/>
  <c r="I280" i="1"/>
  <c r="H280" i="1"/>
  <c r="M279" i="1"/>
  <c r="L279" i="1"/>
  <c r="K279" i="1"/>
  <c r="J279" i="1"/>
  <c r="I279" i="1"/>
  <c r="H279" i="1"/>
  <c r="N279" i="1" s="1"/>
  <c r="O279" i="1" s="1"/>
  <c r="M277" i="1"/>
  <c r="L277" i="1"/>
  <c r="K277" i="1"/>
  <c r="J277" i="1"/>
  <c r="I277" i="1"/>
  <c r="H277" i="1"/>
  <c r="M276" i="1"/>
  <c r="L276" i="1"/>
  <c r="K276" i="1"/>
  <c r="J276" i="1"/>
  <c r="I276" i="1"/>
  <c r="H276" i="1"/>
  <c r="N276" i="1" s="1"/>
  <c r="O276" i="1" s="1"/>
  <c r="M274" i="1"/>
  <c r="L274" i="1"/>
  <c r="K274" i="1"/>
  <c r="J274" i="1"/>
  <c r="I274" i="1"/>
  <c r="H274" i="1"/>
  <c r="M273" i="1"/>
  <c r="L273" i="1"/>
  <c r="K273" i="1"/>
  <c r="J273" i="1"/>
  <c r="I273" i="1"/>
  <c r="H273" i="1"/>
  <c r="N273" i="1" s="1"/>
  <c r="O273" i="1" s="1"/>
  <c r="M271" i="1"/>
  <c r="L271" i="1"/>
  <c r="K271" i="1"/>
  <c r="J271" i="1"/>
  <c r="I271" i="1"/>
  <c r="H271" i="1"/>
  <c r="M270" i="1"/>
  <c r="L270" i="1"/>
  <c r="K270" i="1"/>
  <c r="J270" i="1"/>
  <c r="I270" i="1"/>
  <c r="H270" i="1"/>
  <c r="N270" i="1" s="1"/>
  <c r="O270" i="1" s="1"/>
  <c r="M265" i="1"/>
  <c r="L265" i="1"/>
  <c r="K265" i="1"/>
  <c r="J265" i="1"/>
  <c r="I265" i="1"/>
  <c r="H265" i="1"/>
  <c r="M264" i="1"/>
  <c r="L264" i="1"/>
  <c r="K264" i="1"/>
  <c r="J264" i="1"/>
  <c r="I264" i="1"/>
  <c r="H264" i="1"/>
  <c r="N264" i="1" s="1"/>
  <c r="O264" i="1" s="1"/>
  <c r="M262" i="1"/>
  <c r="L262" i="1"/>
  <c r="K262" i="1"/>
  <c r="J262" i="1"/>
  <c r="I262" i="1"/>
  <c r="H262" i="1"/>
  <c r="M261" i="1"/>
  <c r="L261" i="1"/>
  <c r="K261" i="1"/>
  <c r="J261" i="1"/>
  <c r="I261" i="1"/>
  <c r="H261" i="1"/>
  <c r="N261" i="1" s="1"/>
  <c r="O261" i="1" s="1"/>
  <c r="M260" i="1"/>
  <c r="L260" i="1"/>
  <c r="K260" i="1"/>
  <c r="J260" i="1"/>
  <c r="I260" i="1"/>
  <c r="H260" i="1"/>
  <c r="M257" i="1"/>
  <c r="L257" i="1"/>
  <c r="K257" i="1"/>
  <c r="J257" i="1"/>
  <c r="I257" i="1"/>
  <c r="H257" i="1"/>
  <c r="N257" i="1" s="1"/>
  <c r="O257" i="1" s="1"/>
  <c r="M254" i="1"/>
  <c r="L254" i="1"/>
  <c r="K254" i="1"/>
  <c r="J254" i="1"/>
  <c r="I254" i="1"/>
  <c r="H254" i="1"/>
  <c r="M253" i="1"/>
  <c r="L253" i="1"/>
  <c r="K253" i="1"/>
  <c r="J253" i="1"/>
  <c r="I253" i="1"/>
  <c r="H253" i="1"/>
  <c r="N253" i="1" s="1"/>
  <c r="O253" i="1" s="1"/>
  <c r="M251" i="1"/>
  <c r="L251" i="1"/>
  <c r="K251" i="1"/>
  <c r="J251" i="1"/>
  <c r="I251" i="1"/>
  <c r="H251" i="1"/>
  <c r="M250" i="1"/>
  <c r="L250" i="1"/>
  <c r="K250" i="1"/>
  <c r="J250" i="1"/>
  <c r="I250" i="1"/>
  <c r="H250" i="1"/>
  <c r="N250" i="1" s="1"/>
  <c r="O250" i="1" s="1"/>
  <c r="M249" i="1"/>
  <c r="L249" i="1"/>
  <c r="K249" i="1"/>
  <c r="J249" i="1"/>
  <c r="I249" i="1"/>
  <c r="H249" i="1"/>
  <c r="M248" i="1"/>
  <c r="L248" i="1"/>
  <c r="K248" i="1"/>
  <c r="J248" i="1"/>
  <c r="I248" i="1"/>
  <c r="H248" i="1"/>
  <c r="N248" i="1" s="1"/>
  <c r="O248" i="1" s="1"/>
  <c r="M245" i="1"/>
  <c r="L245" i="1"/>
  <c r="K245" i="1"/>
  <c r="J245" i="1"/>
  <c r="I245" i="1"/>
  <c r="H245" i="1"/>
  <c r="M243" i="1"/>
  <c r="L243" i="1"/>
  <c r="K243" i="1"/>
  <c r="J243" i="1"/>
  <c r="I243" i="1"/>
  <c r="H243" i="1"/>
  <c r="N243" i="1" s="1"/>
  <c r="O243" i="1" s="1"/>
  <c r="M242" i="1"/>
  <c r="L242" i="1"/>
  <c r="K242" i="1"/>
  <c r="J242" i="1"/>
  <c r="I242" i="1"/>
  <c r="H242" i="1"/>
  <c r="M241" i="1"/>
  <c r="L241" i="1"/>
  <c r="K241" i="1"/>
  <c r="J241" i="1"/>
  <c r="I241" i="1"/>
  <c r="H241" i="1"/>
  <c r="N241" i="1" s="1"/>
  <c r="O241" i="1" s="1"/>
  <c r="M239" i="1"/>
  <c r="L239" i="1"/>
  <c r="K239" i="1"/>
  <c r="J239" i="1"/>
  <c r="I239" i="1"/>
  <c r="H239" i="1"/>
  <c r="M237" i="1"/>
  <c r="L237" i="1"/>
  <c r="K237" i="1"/>
  <c r="J237" i="1"/>
  <c r="I237" i="1"/>
  <c r="H237" i="1"/>
  <c r="N237" i="1" s="1"/>
  <c r="O237" i="1" s="1"/>
  <c r="M235" i="1"/>
  <c r="M362" i="1" s="1"/>
  <c r="L235" i="1"/>
  <c r="K235" i="1"/>
  <c r="J235" i="1"/>
  <c r="I235" i="1"/>
  <c r="H235" i="1"/>
  <c r="M233" i="1"/>
  <c r="L233" i="1"/>
  <c r="K233" i="1"/>
  <c r="J233" i="1"/>
  <c r="I233" i="1"/>
  <c r="H233" i="1"/>
  <c r="N233" i="1" s="1"/>
  <c r="O233" i="1" s="1"/>
  <c r="M232" i="1"/>
  <c r="L232" i="1"/>
  <c r="K232" i="1"/>
  <c r="J232" i="1"/>
  <c r="I232" i="1"/>
  <c r="H232" i="1"/>
  <c r="N232" i="1" s="1"/>
  <c r="O232" i="1" s="1"/>
  <c r="M231" i="1"/>
  <c r="L231" i="1"/>
  <c r="K231" i="1"/>
  <c r="J231" i="1"/>
  <c r="I231" i="1"/>
  <c r="H231" i="1"/>
  <c r="N231" i="1" s="1"/>
  <c r="O231" i="1" s="1"/>
  <c r="M228" i="1"/>
  <c r="L228" i="1"/>
  <c r="K228" i="1"/>
  <c r="J228" i="1"/>
  <c r="I228" i="1"/>
  <c r="H228" i="1"/>
  <c r="N228" i="1" s="1"/>
  <c r="O228" i="1" s="1"/>
  <c r="M227" i="1"/>
  <c r="L227" i="1"/>
  <c r="K227" i="1"/>
  <c r="J227" i="1"/>
  <c r="I227" i="1"/>
  <c r="H227" i="1"/>
  <c r="N227" i="1" s="1"/>
  <c r="O227" i="1" s="1"/>
  <c r="M226" i="1"/>
  <c r="L226" i="1"/>
  <c r="K226" i="1"/>
  <c r="J226" i="1"/>
  <c r="I226" i="1"/>
  <c r="H226" i="1"/>
  <c r="N226" i="1" s="1"/>
  <c r="O226" i="1" s="1"/>
  <c r="M224" i="1"/>
  <c r="L224" i="1"/>
  <c r="K224" i="1"/>
  <c r="J224" i="1"/>
  <c r="I224" i="1"/>
  <c r="H224" i="1"/>
  <c r="N224" i="1" s="1"/>
  <c r="O224" i="1" s="1"/>
  <c r="M223" i="1"/>
  <c r="L223" i="1"/>
  <c r="K223" i="1"/>
  <c r="J223" i="1"/>
  <c r="I223" i="1"/>
  <c r="H223" i="1"/>
  <c r="N223" i="1" s="1"/>
  <c r="O223" i="1" s="1"/>
  <c r="M221" i="1"/>
  <c r="L221" i="1"/>
  <c r="K221" i="1"/>
  <c r="J221" i="1"/>
  <c r="I221" i="1"/>
  <c r="H221" i="1"/>
  <c r="N221" i="1" s="1"/>
  <c r="O221" i="1" s="1"/>
  <c r="M220" i="1"/>
  <c r="L220" i="1"/>
  <c r="K220" i="1"/>
  <c r="J220" i="1"/>
  <c r="I220" i="1"/>
  <c r="H220" i="1"/>
  <c r="N220" i="1" s="1"/>
  <c r="O220" i="1" s="1"/>
  <c r="M218" i="1"/>
  <c r="L218" i="1"/>
  <c r="K218" i="1"/>
  <c r="J218" i="1"/>
  <c r="I218" i="1"/>
  <c r="H218" i="1"/>
  <c r="N218" i="1" s="1"/>
  <c r="O218" i="1" s="1"/>
  <c r="M217" i="1"/>
  <c r="L217" i="1"/>
  <c r="K217" i="1"/>
  <c r="J217" i="1"/>
  <c r="I217" i="1"/>
  <c r="H217" i="1"/>
  <c r="N217" i="1" s="1"/>
  <c r="O217" i="1" s="1"/>
  <c r="M216" i="1"/>
  <c r="L216" i="1"/>
  <c r="K216" i="1"/>
  <c r="J216" i="1"/>
  <c r="I216" i="1"/>
  <c r="H216" i="1"/>
  <c r="N216" i="1" s="1"/>
  <c r="O216" i="1" s="1"/>
  <c r="M214" i="1"/>
  <c r="L214" i="1"/>
  <c r="K214" i="1"/>
  <c r="J214" i="1"/>
  <c r="I214" i="1"/>
  <c r="H214" i="1"/>
  <c r="N214" i="1" s="1"/>
  <c r="O214" i="1" s="1"/>
  <c r="M213" i="1"/>
  <c r="L213" i="1"/>
  <c r="K213" i="1"/>
  <c r="J213" i="1"/>
  <c r="I213" i="1"/>
  <c r="H213" i="1"/>
  <c r="N213" i="1" s="1"/>
  <c r="O213" i="1" s="1"/>
  <c r="M212" i="1"/>
  <c r="L212" i="1"/>
  <c r="K212" i="1"/>
  <c r="J212" i="1"/>
  <c r="I212" i="1"/>
  <c r="H212" i="1"/>
  <c r="N212" i="1" s="1"/>
  <c r="O212" i="1" s="1"/>
  <c r="M211" i="1"/>
  <c r="L211" i="1"/>
  <c r="K211" i="1"/>
  <c r="J211" i="1"/>
  <c r="I211" i="1"/>
  <c r="H211" i="1"/>
  <c r="N211" i="1" s="1"/>
  <c r="O211" i="1" s="1"/>
  <c r="M210" i="1"/>
  <c r="L210" i="1"/>
  <c r="K210" i="1"/>
  <c r="J210" i="1"/>
  <c r="I210" i="1"/>
  <c r="H210" i="1"/>
  <c r="N210" i="1" s="1"/>
  <c r="O210" i="1" s="1"/>
  <c r="M209" i="1"/>
  <c r="L209" i="1"/>
  <c r="K209" i="1"/>
  <c r="J209" i="1"/>
  <c r="I209" i="1"/>
  <c r="H209" i="1"/>
  <c r="N209" i="1" s="1"/>
  <c r="O209" i="1" s="1"/>
  <c r="M207" i="1"/>
  <c r="L207" i="1"/>
  <c r="K207" i="1"/>
  <c r="J207" i="1"/>
  <c r="I207" i="1"/>
  <c r="H207" i="1"/>
  <c r="N207" i="1" s="1"/>
  <c r="O207" i="1" s="1"/>
  <c r="M205" i="1"/>
  <c r="L205" i="1"/>
  <c r="K205" i="1"/>
  <c r="J205" i="1"/>
  <c r="I205" i="1"/>
  <c r="H205" i="1"/>
  <c r="N205" i="1" s="1"/>
  <c r="O205" i="1" s="1"/>
  <c r="M202" i="1"/>
  <c r="L202" i="1"/>
  <c r="K202" i="1"/>
  <c r="J202" i="1"/>
  <c r="I202" i="1"/>
  <c r="H202" i="1"/>
  <c r="N202" i="1" s="1"/>
  <c r="O202" i="1" s="1"/>
  <c r="M201" i="1"/>
  <c r="L201" i="1"/>
  <c r="K201" i="1"/>
  <c r="J201" i="1"/>
  <c r="I201" i="1"/>
  <c r="H201" i="1"/>
  <c r="N201" i="1" s="1"/>
  <c r="O201" i="1" s="1"/>
  <c r="M199" i="1"/>
  <c r="L199" i="1"/>
  <c r="K199" i="1"/>
  <c r="J199" i="1"/>
  <c r="I199" i="1"/>
  <c r="H199" i="1"/>
  <c r="N199" i="1" s="1"/>
  <c r="O199" i="1" s="1"/>
  <c r="M197" i="1"/>
  <c r="L197" i="1"/>
  <c r="K197" i="1"/>
  <c r="J197" i="1"/>
  <c r="I197" i="1"/>
  <c r="H197" i="1"/>
  <c r="N197" i="1" s="1"/>
  <c r="O197" i="1" s="1"/>
  <c r="M195" i="1"/>
  <c r="L195" i="1"/>
  <c r="K195" i="1"/>
  <c r="J195" i="1"/>
  <c r="I195" i="1"/>
  <c r="H195" i="1"/>
  <c r="N195" i="1" s="1"/>
  <c r="O195" i="1" s="1"/>
  <c r="M194" i="1"/>
  <c r="L194" i="1"/>
  <c r="K194" i="1"/>
  <c r="J194" i="1"/>
  <c r="I194" i="1"/>
  <c r="H194" i="1"/>
  <c r="N194" i="1" s="1"/>
  <c r="O194" i="1" s="1"/>
  <c r="M193" i="1"/>
  <c r="L193" i="1"/>
  <c r="K193" i="1"/>
  <c r="J193" i="1"/>
  <c r="I193" i="1"/>
  <c r="H193" i="1"/>
  <c r="N193" i="1" s="1"/>
  <c r="O193" i="1" s="1"/>
  <c r="M190" i="1"/>
  <c r="L190" i="1"/>
  <c r="K190" i="1"/>
  <c r="J190" i="1"/>
  <c r="I190" i="1"/>
  <c r="H190" i="1"/>
  <c r="N190" i="1" s="1"/>
  <c r="O190" i="1" s="1"/>
  <c r="M189" i="1"/>
  <c r="L189" i="1"/>
  <c r="K189" i="1"/>
  <c r="J189" i="1"/>
  <c r="I189" i="1"/>
  <c r="H189" i="1"/>
  <c r="N189" i="1" s="1"/>
  <c r="O189" i="1" s="1"/>
  <c r="M188" i="1"/>
  <c r="L188" i="1"/>
  <c r="K188" i="1"/>
  <c r="J188" i="1"/>
  <c r="I188" i="1"/>
  <c r="H188" i="1"/>
  <c r="N188" i="1" s="1"/>
  <c r="O188" i="1" s="1"/>
  <c r="M187" i="1"/>
  <c r="L187" i="1"/>
  <c r="K187" i="1"/>
  <c r="J187" i="1"/>
  <c r="I187" i="1"/>
  <c r="H187" i="1"/>
  <c r="N187" i="1" s="1"/>
  <c r="O187" i="1" s="1"/>
  <c r="M185" i="1"/>
  <c r="L185" i="1"/>
  <c r="K185" i="1"/>
  <c r="J185" i="1"/>
  <c r="I185" i="1"/>
  <c r="H185" i="1"/>
  <c r="N185" i="1" s="1"/>
  <c r="O185" i="1" s="1"/>
  <c r="M184" i="1"/>
  <c r="L184" i="1"/>
  <c r="K184" i="1"/>
  <c r="J184" i="1"/>
  <c r="I184" i="1"/>
  <c r="H184" i="1"/>
  <c r="N184" i="1" s="1"/>
  <c r="O184" i="1" s="1"/>
  <c r="M182" i="1"/>
  <c r="L182" i="1"/>
  <c r="K182" i="1"/>
  <c r="J182" i="1"/>
  <c r="I182" i="1"/>
  <c r="H182" i="1"/>
  <c r="N182" i="1" s="1"/>
  <c r="O182" i="1" s="1"/>
  <c r="M181" i="1"/>
  <c r="L181" i="1"/>
  <c r="K181" i="1"/>
  <c r="J181" i="1"/>
  <c r="I181" i="1"/>
  <c r="H181" i="1"/>
  <c r="N181" i="1" s="1"/>
  <c r="O181" i="1" s="1"/>
  <c r="M180" i="1"/>
  <c r="L180" i="1"/>
  <c r="K180" i="1"/>
  <c r="J180" i="1"/>
  <c r="I180" i="1"/>
  <c r="H180" i="1"/>
  <c r="N180" i="1" s="1"/>
  <c r="O180" i="1" s="1"/>
  <c r="M176" i="1"/>
  <c r="L176" i="1"/>
  <c r="K176" i="1"/>
  <c r="J176" i="1"/>
  <c r="I176" i="1"/>
  <c r="H176" i="1"/>
  <c r="N176" i="1" s="1"/>
  <c r="O176" i="1" s="1"/>
  <c r="M175" i="1"/>
  <c r="L175" i="1"/>
  <c r="K175" i="1"/>
  <c r="J175" i="1"/>
  <c r="I175" i="1"/>
  <c r="H175" i="1"/>
  <c r="N175" i="1" s="1"/>
  <c r="O175" i="1" s="1"/>
  <c r="M174" i="1"/>
  <c r="L174" i="1"/>
  <c r="K174" i="1"/>
  <c r="J174" i="1"/>
  <c r="I174" i="1"/>
  <c r="H174" i="1"/>
  <c r="N174" i="1" s="1"/>
  <c r="O174" i="1" s="1"/>
  <c r="M171" i="1"/>
  <c r="L171" i="1"/>
  <c r="K171" i="1"/>
  <c r="J171" i="1"/>
  <c r="I171" i="1"/>
  <c r="H171" i="1"/>
  <c r="N171" i="1" s="1"/>
  <c r="O171" i="1" s="1"/>
  <c r="M170" i="1"/>
  <c r="L170" i="1"/>
  <c r="K170" i="1"/>
  <c r="J170" i="1"/>
  <c r="I170" i="1"/>
  <c r="H170" i="1"/>
  <c r="N170" i="1" s="1"/>
  <c r="O170" i="1" s="1"/>
  <c r="M167" i="1"/>
  <c r="L167" i="1"/>
  <c r="K167" i="1"/>
  <c r="J167" i="1"/>
  <c r="I167" i="1"/>
  <c r="H167" i="1"/>
  <c r="N167" i="1" s="1"/>
  <c r="O167" i="1" s="1"/>
  <c r="M166" i="1"/>
  <c r="L166" i="1"/>
  <c r="K166" i="1"/>
  <c r="J166" i="1"/>
  <c r="I166" i="1"/>
  <c r="H166" i="1"/>
  <c r="N166" i="1" s="1"/>
  <c r="O166" i="1" s="1"/>
  <c r="M164" i="1"/>
  <c r="L164" i="1"/>
  <c r="K164" i="1"/>
  <c r="J164" i="1"/>
  <c r="I164" i="1"/>
  <c r="H164" i="1"/>
  <c r="N164" i="1" s="1"/>
  <c r="O164" i="1" s="1"/>
  <c r="M163" i="1"/>
  <c r="L163" i="1"/>
  <c r="K163" i="1"/>
  <c r="J163" i="1"/>
  <c r="I163" i="1"/>
  <c r="H163" i="1"/>
  <c r="N163" i="1" s="1"/>
  <c r="O163" i="1" s="1"/>
  <c r="M161" i="1"/>
  <c r="L161" i="1"/>
  <c r="K161" i="1"/>
  <c r="J161" i="1"/>
  <c r="I161" i="1"/>
  <c r="H161" i="1"/>
  <c r="N161" i="1" s="1"/>
  <c r="O161" i="1" s="1"/>
  <c r="M160" i="1"/>
  <c r="L160" i="1"/>
  <c r="K160" i="1"/>
  <c r="J160" i="1"/>
  <c r="I160" i="1"/>
  <c r="H160" i="1"/>
  <c r="N160" i="1" s="1"/>
  <c r="O160" i="1" s="1"/>
  <c r="M159" i="1"/>
  <c r="L159" i="1"/>
  <c r="K159" i="1"/>
  <c r="J159" i="1"/>
  <c r="I159" i="1"/>
  <c r="H159" i="1"/>
  <c r="N159" i="1" s="1"/>
  <c r="O159" i="1" s="1"/>
  <c r="M158" i="1"/>
  <c r="L158" i="1"/>
  <c r="K158" i="1"/>
  <c r="J158" i="1"/>
  <c r="I158" i="1"/>
  <c r="H158" i="1"/>
  <c r="N158" i="1" s="1"/>
  <c r="O158" i="1" s="1"/>
  <c r="M155" i="1"/>
  <c r="L155" i="1"/>
  <c r="K155" i="1"/>
  <c r="J155" i="1"/>
  <c r="I155" i="1"/>
  <c r="H155" i="1"/>
  <c r="N155" i="1" s="1"/>
  <c r="O155" i="1" s="1"/>
  <c r="M153" i="1"/>
  <c r="L153" i="1"/>
  <c r="K153" i="1"/>
  <c r="J153" i="1"/>
  <c r="I153" i="1"/>
  <c r="H153" i="1"/>
  <c r="N153" i="1" s="1"/>
  <c r="O153" i="1" s="1"/>
  <c r="M151" i="1"/>
  <c r="L151" i="1"/>
  <c r="K151" i="1"/>
  <c r="J151" i="1"/>
  <c r="I151" i="1"/>
  <c r="H151" i="1"/>
  <c r="N151" i="1" s="1"/>
  <c r="O151" i="1" s="1"/>
  <c r="M149" i="1"/>
  <c r="L149" i="1"/>
  <c r="K149" i="1"/>
  <c r="J149" i="1"/>
  <c r="I149" i="1"/>
  <c r="H149" i="1"/>
  <c r="N149" i="1" s="1"/>
  <c r="O149" i="1" s="1"/>
  <c r="M148" i="1"/>
  <c r="L148" i="1"/>
  <c r="K148" i="1"/>
  <c r="J148" i="1"/>
  <c r="I148" i="1"/>
  <c r="H148" i="1"/>
  <c r="N148" i="1" s="1"/>
  <c r="O148" i="1" s="1"/>
  <c r="M144" i="1"/>
  <c r="L144" i="1"/>
  <c r="K144" i="1"/>
  <c r="J144" i="1"/>
  <c r="I144" i="1"/>
  <c r="H144" i="1"/>
  <c r="N144" i="1" s="1"/>
  <c r="O144" i="1" s="1"/>
  <c r="M142" i="1"/>
  <c r="L142" i="1"/>
  <c r="K142" i="1"/>
  <c r="J142" i="1"/>
  <c r="I142" i="1"/>
  <c r="H142" i="1"/>
  <c r="N142" i="1" s="1"/>
  <c r="O142" i="1" s="1"/>
  <c r="M140" i="1"/>
  <c r="L140" i="1"/>
  <c r="K140" i="1"/>
  <c r="J140" i="1"/>
  <c r="I140" i="1"/>
  <c r="H140" i="1"/>
  <c r="N140" i="1" s="1"/>
  <c r="O140" i="1" s="1"/>
  <c r="M137" i="1"/>
  <c r="L137" i="1"/>
  <c r="K137" i="1"/>
  <c r="J137" i="1"/>
  <c r="I137" i="1"/>
  <c r="H137" i="1"/>
  <c r="N137" i="1" s="1"/>
  <c r="O137" i="1" s="1"/>
  <c r="M136" i="1"/>
  <c r="L136" i="1"/>
  <c r="K136" i="1"/>
  <c r="J136" i="1"/>
  <c r="I136" i="1"/>
  <c r="H136" i="1"/>
  <c r="N136" i="1" s="1"/>
  <c r="O136" i="1" s="1"/>
  <c r="M134" i="1"/>
  <c r="L134" i="1"/>
  <c r="K134" i="1"/>
  <c r="J134" i="1"/>
  <c r="I134" i="1"/>
  <c r="H134" i="1"/>
  <c r="N134" i="1" s="1"/>
  <c r="O134" i="1" s="1"/>
  <c r="M131" i="1"/>
  <c r="L131" i="1"/>
  <c r="K131" i="1"/>
  <c r="J131" i="1"/>
  <c r="I131" i="1"/>
  <c r="H131" i="1"/>
  <c r="N131" i="1" s="1"/>
  <c r="O131" i="1" s="1"/>
  <c r="M129" i="1"/>
  <c r="L129" i="1"/>
  <c r="K129" i="1"/>
  <c r="J129" i="1"/>
  <c r="I129" i="1"/>
  <c r="H129" i="1"/>
  <c r="N129" i="1" s="1"/>
  <c r="O129" i="1" s="1"/>
  <c r="M126" i="1"/>
  <c r="L126" i="1"/>
  <c r="K126" i="1"/>
  <c r="J126" i="1"/>
  <c r="I126" i="1"/>
  <c r="H126" i="1"/>
  <c r="N126" i="1" s="1"/>
  <c r="O126" i="1" s="1"/>
  <c r="M122" i="1"/>
  <c r="L122" i="1"/>
  <c r="K122" i="1"/>
  <c r="J122" i="1"/>
  <c r="I122" i="1"/>
  <c r="H122" i="1"/>
  <c r="N122" i="1" s="1"/>
  <c r="O122" i="1" s="1"/>
  <c r="M121" i="1"/>
  <c r="L121" i="1"/>
  <c r="K121" i="1"/>
  <c r="J121" i="1"/>
  <c r="I121" i="1"/>
  <c r="H121" i="1"/>
  <c r="N121" i="1" s="1"/>
  <c r="O121" i="1" s="1"/>
  <c r="M119" i="1"/>
  <c r="L119" i="1"/>
  <c r="K119" i="1"/>
  <c r="J119" i="1"/>
  <c r="I119" i="1"/>
  <c r="H119" i="1"/>
  <c r="N119" i="1" s="1"/>
  <c r="O119" i="1" s="1"/>
  <c r="M117" i="1"/>
  <c r="L117" i="1"/>
  <c r="K117" i="1"/>
  <c r="J117" i="1"/>
  <c r="I117" i="1"/>
  <c r="H117" i="1"/>
  <c r="N117" i="1" s="1"/>
  <c r="O117" i="1" s="1"/>
  <c r="M115" i="1"/>
  <c r="L115" i="1"/>
  <c r="K115" i="1"/>
  <c r="J115" i="1"/>
  <c r="I115" i="1"/>
  <c r="H115" i="1"/>
  <c r="N115" i="1" s="1"/>
  <c r="O115" i="1" s="1"/>
  <c r="M114" i="1"/>
  <c r="L114" i="1"/>
  <c r="K114" i="1"/>
  <c r="J114" i="1"/>
  <c r="I114" i="1"/>
  <c r="H114" i="1"/>
  <c r="N114" i="1" s="1"/>
  <c r="O114" i="1" s="1"/>
  <c r="M111" i="1"/>
  <c r="L111" i="1"/>
  <c r="K111" i="1"/>
  <c r="J111" i="1"/>
  <c r="I111" i="1"/>
  <c r="H111" i="1"/>
  <c r="N111" i="1" s="1"/>
  <c r="O111" i="1" s="1"/>
  <c r="M110" i="1"/>
  <c r="L110" i="1"/>
  <c r="K110" i="1"/>
  <c r="J110" i="1"/>
  <c r="I110" i="1"/>
  <c r="H110" i="1"/>
  <c r="N110" i="1" s="1"/>
  <c r="O110" i="1" s="1"/>
  <c r="M107" i="1"/>
  <c r="L107" i="1"/>
  <c r="K107" i="1"/>
  <c r="J107" i="1"/>
  <c r="I107" i="1"/>
  <c r="H107" i="1"/>
  <c r="N107" i="1" s="1"/>
  <c r="O107" i="1" s="1"/>
  <c r="M105" i="1"/>
  <c r="L105" i="1"/>
  <c r="K105" i="1"/>
  <c r="J105" i="1"/>
  <c r="I105" i="1"/>
  <c r="H105" i="1"/>
  <c r="N105" i="1" s="1"/>
  <c r="O105" i="1" s="1"/>
  <c r="M104" i="1"/>
  <c r="L104" i="1"/>
  <c r="K104" i="1"/>
  <c r="J104" i="1"/>
  <c r="I104" i="1"/>
  <c r="H104" i="1"/>
  <c r="N104" i="1" s="1"/>
  <c r="O104" i="1" s="1"/>
  <c r="M102" i="1"/>
  <c r="L102" i="1"/>
  <c r="K102" i="1"/>
  <c r="J102" i="1"/>
  <c r="I102" i="1"/>
  <c r="H102" i="1"/>
  <c r="N102" i="1" s="1"/>
  <c r="O102" i="1" s="1"/>
  <c r="M101" i="1"/>
  <c r="L101" i="1"/>
  <c r="K101" i="1"/>
  <c r="J101" i="1"/>
  <c r="I101" i="1"/>
  <c r="H101" i="1"/>
  <c r="N101" i="1" s="1"/>
  <c r="O101" i="1" s="1"/>
  <c r="M100" i="1"/>
  <c r="L100" i="1"/>
  <c r="K100" i="1"/>
  <c r="J100" i="1"/>
  <c r="I100" i="1"/>
  <c r="H100" i="1"/>
  <c r="N100" i="1" s="1"/>
  <c r="O100" i="1" s="1"/>
  <c r="M99" i="1"/>
  <c r="L99" i="1"/>
  <c r="K99" i="1"/>
  <c r="J99" i="1"/>
  <c r="I99" i="1"/>
  <c r="H99" i="1"/>
  <c r="N99" i="1" s="1"/>
  <c r="O99" i="1" s="1"/>
  <c r="M98" i="1"/>
  <c r="L98" i="1"/>
  <c r="K98" i="1"/>
  <c r="J98" i="1"/>
  <c r="I98" i="1"/>
  <c r="H98" i="1"/>
  <c r="N98" i="1" s="1"/>
  <c r="O98" i="1" s="1"/>
  <c r="M97" i="1"/>
  <c r="L97" i="1"/>
  <c r="K97" i="1"/>
  <c r="J97" i="1"/>
  <c r="I97" i="1"/>
  <c r="H97" i="1"/>
  <c r="N97" i="1" s="1"/>
  <c r="O97" i="1" s="1"/>
  <c r="M96" i="1"/>
  <c r="L96" i="1"/>
  <c r="K96" i="1"/>
  <c r="J96" i="1"/>
  <c r="I96" i="1"/>
  <c r="H96" i="1"/>
  <c r="N96" i="1" s="1"/>
  <c r="O96" i="1" s="1"/>
  <c r="M94" i="1"/>
  <c r="L94" i="1"/>
  <c r="K94" i="1"/>
  <c r="J94" i="1"/>
  <c r="I94" i="1"/>
  <c r="H94" i="1"/>
  <c r="N94" i="1" s="1"/>
  <c r="O94" i="1" s="1"/>
  <c r="M93" i="1"/>
  <c r="L93" i="1"/>
  <c r="K93" i="1"/>
  <c r="J93" i="1"/>
  <c r="I93" i="1"/>
  <c r="H93" i="1"/>
  <c r="N93" i="1" s="1"/>
  <c r="O93" i="1" s="1"/>
  <c r="M92" i="1"/>
  <c r="L92" i="1"/>
  <c r="K92" i="1"/>
  <c r="J92" i="1"/>
  <c r="I92" i="1"/>
  <c r="H92" i="1"/>
  <c r="N92" i="1" s="1"/>
  <c r="O92" i="1" s="1"/>
  <c r="M91" i="1"/>
  <c r="L91" i="1"/>
  <c r="K91" i="1"/>
  <c r="J91" i="1"/>
  <c r="I91" i="1"/>
  <c r="H91" i="1"/>
  <c r="N91" i="1" s="1"/>
  <c r="O91" i="1" s="1"/>
  <c r="M90" i="1"/>
  <c r="L90" i="1"/>
  <c r="K90" i="1"/>
  <c r="J90" i="1"/>
  <c r="I90" i="1"/>
  <c r="H90" i="1"/>
  <c r="N90" i="1" s="1"/>
  <c r="O90" i="1" s="1"/>
  <c r="M89" i="1"/>
  <c r="L89" i="1"/>
  <c r="K89" i="1"/>
  <c r="J89" i="1"/>
  <c r="I89" i="1"/>
  <c r="H89" i="1"/>
  <c r="N89" i="1" s="1"/>
  <c r="O89" i="1" s="1"/>
  <c r="M88" i="1"/>
  <c r="L88" i="1"/>
  <c r="K88" i="1"/>
  <c r="J88" i="1"/>
  <c r="I88" i="1"/>
  <c r="H88" i="1"/>
  <c r="N88" i="1" s="1"/>
  <c r="O88" i="1" s="1"/>
  <c r="M87" i="1"/>
  <c r="L87" i="1"/>
  <c r="K87" i="1"/>
  <c r="J87" i="1"/>
  <c r="I87" i="1"/>
  <c r="H87" i="1"/>
  <c r="N87" i="1" s="1"/>
  <c r="O87" i="1" s="1"/>
  <c r="M86" i="1"/>
  <c r="L86" i="1"/>
  <c r="K86" i="1"/>
  <c r="J86" i="1"/>
  <c r="I86" i="1"/>
  <c r="H86" i="1"/>
  <c r="N86" i="1" s="1"/>
  <c r="O86" i="1" s="1"/>
  <c r="M85" i="1"/>
  <c r="L85" i="1"/>
  <c r="K85" i="1"/>
  <c r="J85" i="1"/>
  <c r="I85" i="1"/>
  <c r="H85" i="1"/>
  <c r="N85" i="1" s="1"/>
  <c r="O85" i="1" s="1"/>
  <c r="M84" i="1"/>
  <c r="L84" i="1"/>
  <c r="K84" i="1"/>
  <c r="J84" i="1"/>
  <c r="I84" i="1"/>
  <c r="H84" i="1"/>
  <c r="N84" i="1" s="1"/>
  <c r="O84" i="1" s="1"/>
  <c r="M83" i="1"/>
  <c r="L83" i="1"/>
  <c r="K83" i="1"/>
  <c r="J83" i="1"/>
  <c r="I83" i="1"/>
  <c r="H83" i="1"/>
  <c r="N83" i="1" s="1"/>
  <c r="O83" i="1" s="1"/>
  <c r="M82" i="1"/>
  <c r="L82" i="1"/>
  <c r="K82" i="1"/>
  <c r="J82" i="1"/>
  <c r="I82" i="1"/>
  <c r="H82" i="1"/>
  <c r="N82" i="1" s="1"/>
  <c r="O82" i="1" s="1"/>
  <c r="M79" i="1"/>
  <c r="L79" i="1"/>
  <c r="K79" i="1"/>
  <c r="J79" i="1"/>
  <c r="I79" i="1"/>
  <c r="H79" i="1"/>
  <c r="N79" i="1" s="1"/>
  <c r="O79" i="1" s="1"/>
  <c r="M77" i="1"/>
  <c r="L77" i="1"/>
  <c r="K77" i="1"/>
  <c r="J77" i="1"/>
  <c r="I77" i="1"/>
  <c r="H77" i="1"/>
  <c r="N77" i="1" s="1"/>
  <c r="O77" i="1" s="1"/>
  <c r="M75" i="1"/>
  <c r="L75" i="1"/>
  <c r="K75" i="1"/>
  <c r="J75" i="1"/>
  <c r="I75" i="1"/>
  <c r="H75" i="1"/>
  <c r="N75" i="1" s="1"/>
  <c r="O75" i="1" s="1"/>
  <c r="M74" i="1"/>
  <c r="L74" i="1"/>
  <c r="K74" i="1"/>
  <c r="J74" i="1"/>
  <c r="I74" i="1"/>
  <c r="H74" i="1"/>
  <c r="N74" i="1" s="1"/>
  <c r="O74" i="1" s="1"/>
  <c r="M73" i="1"/>
  <c r="L73" i="1"/>
  <c r="K73" i="1"/>
  <c r="J73" i="1"/>
  <c r="I73" i="1"/>
  <c r="H73" i="1"/>
  <c r="N73" i="1" s="1"/>
  <c r="O73" i="1" s="1"/>
  <c r="M71" i="1"/>
  <c r="L71" i="1"/>
  <c r="K71" i="1"/>
  <c r="J71" i="1"/>
  <c r="I71" i="1"/>
  <c r="H71" i="1"/>
  <c r="N71" i="1" s="1"/>
  <c r="O71" i="1" s="1"/>
  <c r="M70" i="1"/>
  <c r="L70" i="1"/>
  <c r="K70" i="1"/>
  <c r="J70" i="1"/>
  <c r="I70" i="1"/>
  <c r="H70" i="1"/>
  <c r="N70" i="1" s="1"/>
  <c r="O70" i="1" s="1"/>
  <c r="M68" i="1"/>
  <c r="L68" i="1"/>
  <c r="K68" i="1"/>
  <c r="J68" i="1"/>
  <c r="I68" i="1"/>
  <c r="H68" i="1"/>
  <c r="N68" i="1" s="1"/>
  <c r="O68" i="1" s="1"/>
  <c r="M66" i="1"/>
  <c r="L66" i="1"/>
  <c r="K66" i="1"/>
  <c r="J66" i="1"/>
  <c r="I66" i="1"/>
  <c r="H66" i="1"/>
  <c r="N66" i="1" s="1"/>
  <c r="O66" i="1" s="1"/>
  <c r="M64" i="1"/>
  <c r="L64" i="1"/>
  <c r="K64" i="1"/>
  <c r="J64" i="1"/>
  <c r="I64" i="1"/>
  <c r="H64" i="1"/>
  <c r="N64" i="1" s="1"/>
  <c r="O64" i="1" s="1"/>
  <c r="M61" i="1"/>
  <c r="L61" i="1"/>
  <c r="K61" i="1"/>
  <c r="J61" i="1"/>
  <c r="I61" i="1"/>
  <c r="H61" i="1"/>
  <c r="N61" i="1" s="1"/>
  <c r="O61" i="1" s="1"/>
  <c r="M60" i="1"/>
  <c r="L60" i="1"/>
  <c r="K60" i="1"/>
  <c r="J60" i="1"/>
  <c r="I60" i="1"/>
  <c r="H60" i="1"/>
  <c r="N60" i="1" s="1"/>
  <c r="O60" i="1" s="1"/>
  <c r="M57" i="1"/>
  <c r="L57" i="1"/>
  <c r="K57" i="1"/>
  <c r="J57" i="1"/>
  <c r="I57" i="1"/>
  <c r="H57" i="1"/>
  <c r="N57" i="1" s="1"/>
  <c r="O57" i="1" s="1"/>
  <c r="M53" i="1"/>
  <c r="L53" i="1"/>
  <c r="K53" i="1"/>
  <c r="J53" i="1"/>
  <c r="I53" i="1"/>
  <c r="H53" i="1"/>
  <c r="N53" i="1" s="1"/>
  <c r="O53" i="1" s="1"/>
  <c r="M51" i="1"/>
  <c r="L51" i="1"/>
  <c r="K51" i="1"/>
  <c r="J51" i="1"/>
  <c r="I51" i="1"/>
  <c r="H51" i="1"/>
  <c r="N51" i="1" s="1"/>
  <c r="O51" i="1" s="1"/>
  <c r="M48" i="1"/>
  <c r="L48" i="1"/>
  <c r="K48" i="1"/>
  <c r="J48" i="1"/>
  <c r="I48" i="1"/>
  <c r="H48" i="1"/>
  <c r="N48" i="1" s="1"/>
  <c r="O48" i="1" s="1"/>
  <c r="M46" i="1"/>
  <c r="L46" i="1"/>
  <c r="K46" i="1"/>
  <c r="J46" i="1"/>
  <c r="I46" i="1"/>
  <c r="H46" i="1"/>
  <c r="N46" i="1" s="1"/>
  <c r="O46" i="1" s="1"/>
  <c r="M45" i="1"/>
  <c r="L45" i="1"/>
  <c r="K45" i="1"/>
  <c r="J45" i="1"/>
  <c r="I45" i="1"/>
  <c r="H45" i="1"/>
  <c r="N45" i="1" s="1"/>
  <c r="O45" i="1" s="1"/>
  <c r="M43" i="1"/>
  <c r="L43" i="1"/>
  <c r="K43" i="1"/>
  <c r="J43" i="1"/>
  <c r="I43" i="1"/>
  <c r="H43" i="1"/>
  <c r="N43" i="1" s="1"/>
  <c r="O43" i="1" s="1"/>
  <c r="M40" i="1"/>
  <c r="L40" i="1"/>
  <c r="K40" i="1"/>
  <c r="J40" i="1"/>
  <c r="I40" i="1"/>
  <c r="H40" i="1"/>
  <c r="N40" i="1" s="1"/>
  <c r="O40" i="1" s="1"/>
  <c r="M37" i="1"/>
  <c r="L37" i="1"/>
  <c r="K37" i="1"/>
  <c r="J37" i="1"/>
  <c r="I37" i="1"/>
  <c r="H37" i="1"/>
  <c r="N37" i="1" s="1"/>
  <c r="O37" i="1" s="1"/>
  <c r="M36" i="1"/>
  <c r="L36" i="1"/>
  <c r="K36" i="1"/>
  <c r="J36" i="1"/>
  <c r="I36" i="1"/>
  <c r="H36" i="1"/>
  <c r="N36" i="1" s="1"/>
  <c r="O36" i="1" s="1"/>
  <c r="M35" i="1"/>
  <c r="L35" i="1"/>
  <c r="K35" i="1"/>
  <c r="J35" i="1"/>
  <c r="I35" i="1"/>
  <c r="H35" i="1"/>
  <c r="N35" i="1" s="1"/>
  <c r="O35" i="1" s="1"/>
  <c r="M33" i="1"/>
  <c r="L33" i="1"/>
  <c r="K33" i="1"/>
  <c r="J33" i="1"/>
  <c r="I33" i="1"/>
  <c r="H33" i="1"/>
  <c r="N33" i="1" s="1"/>
  <c r="O33" i="1" s="1"/>
  <c r="M31" i="1"/>
  <c r="L31" i="1"/>
  <c r="K31" i="1"/>
  <c r="J31" i="1"/>
  <c r="I31" i="1"/>
  <c r="H31" i="1"/>
  <c r="N31" i="1" s="1"/>
  <c r="O31" i="1" s="1"/>
  <c r="M28" i="1"/>
  <c r="L28" i="1"/>
  <c r="K28" i="1"/>
  <c r="J28" i="1"/>
  <c r="I28" i="1"/>
  <c r="H28" i="1"/>
  <c r="N28" i="1" s="1"/>
  <c r="O28" i="1" s="1"/>
  <c r="M26" i="1"/>
  <c r="L26" i="1"/>
  <c r="K26" i="1"/>
  <c r="J26" i="1"/>
  <c r="I26" i="1"/>
  <c r="H26" i="1"/>
  <c r="N26" i="1" s="1"/>
  <c r="O26" i="1" s="1"/>
  <c r="M23" i="1"/>
  <c r="L23" i="1"/>
  <c r="K23" i="1"/>
  <c r="J23" i="1"/>
  <c r="I23" i="1"/>
  <c r="H23" i="1"/>
  <c r="N23" i="1" s="1"/>
  <c r="O23" i="1" s="1"/>
  <c r="M22" i="1"/>
  <c r="L22" i="1"/>
  <c r="K22" i="1"/>
  <c r="J22" i="1"/>
  <c r="I22" i="1"/>
  <c r="H22" i="1"/>
  <c r="N22" i="1" s="1"/>
  <c r="O22" i="1" s="1"/>
  <c r="M19" i="1"/>
  <c r="L19" i="1"/>
  <c r="K19" i="1"/>
  <c r="J19" i="1"/>
  <c r="I19" i="1"/>
  <c r="H19" i="1"/>
  <c r="N19" i="1" s="1"/>
  <c r="O19" i="1" s="1"/>
  <c r="M16" i="1"/>
  <c r="L16" i="1"/>
  <c r="K16" i="1"/>
  <c r="J16" i="1"/>
  <c r="I16" i="1"/>
  <c r="H16" i="1"/>
  <c r="N16" i="1" s="1"/>
  <c r="O16" i="1" s="1"/>
  <c r="M15" i="1"/>
  <c r="L15" i="1"/>
  <c r="K15" i="1"/>
  <c r="J15" i="1"/>
  <c r="I15" i="1"/>
  <c r="H15" i="1"/>
  <c r="N15" i="1" s="1"/>
  <c r="O15" i="1" s="1"/>
  <c r="M14" i="1"/>
  <c r="L14" i="1"/>
  <c r="K14" i="1"/>
  <c r="J14" i="1"/>
  <c r="I14" i="1"/>
  <c r="H14" i="1"/>
  <c r="N14" i="1" s="1"/>
  <c r="O14" i="1" s="1"/>
  <c r="M13" i="1"/>
  <c r="L13" i="1"/>
  <c r="K13" i="1"/>
  <c r="J13" i="1"/>
  <c r="I13" i="1"/>
  <c r="H13" i="1"/>
  <c r="N13" i="1" s="1"/>
  <c r="O13" i="1" s="1"/>
  <c r="M12" i="1"/>
  <c r="L12" i="1"/>
  <c r="K12" i="1"/>
  <c r="J12" i="1"/>
  <c r="I12" i="1"/>
  <c r="H12" i="1"/>
  <c r="N12" i="1" s="1"/>
  <c r="O12" i="1" s="1"/>
  <c r="M11" i="1"/>
  <c r="L11" i="1"/>
  <c r="K11" i="1"/>
  <c r="J11" i="1"/>
  <c r="I11" i="1"/>
  <c r="H11" i="1"/>
  <c r="N11" i="1" s="1"/>
  <c r="O11" i="1" s="1"/>
  <c r="M10" i="1"/>
  <c r="L10" i="1"/>
  <c r="K10" i="1"/>
  <c r="J10" i="1"/>
  <c r="I10" i="1"/>
  <c r="H10" i="1"/>
  <c r="N10" i="1" s="1"/>
  <c r="O10" i="1" s="1"/>
  <c r="M9" i="1"/>
  <c r="L9" i="1"/>
  <c r="K9" i="1"/>
  <c r="J9" i="1"/>
  <c r="I9" i="1"/>
  <c r="H9" i="1"/>
  <c r="N9" i="1" s="1"/>
  <c r="O9" i="1" s="1"/>
  <c r="M8" i="1"/>
  <c r="L8" i="1"/>
  <c r="K8" i="1"/>
  <c r="J8" i="1"/>
  <c r="I8" i="1"/>
  <c r="H8" i="1"/>
  <c r="N8" i="1" s="1"/>
  <c r="O8" i="1" s="1"/>
  <c r="M6" i="1"/>
  <c r="L6" i="1"/>
  <c r="L362" i="1" s="1"/>
  <c r="K6" i="1"/>
  <c r="J6" i="1"/>
  <c r="J362" i="1" s="1"/>
  <c r="I6" i="1"/>
  <c r="I362" i="1" s="1"/>
  <c r="H6" i="1"/>
  <c r="H362" i="1" s="1"/>
  <c r="K362" i="1" l="1"/>
  <c r="N6" i="1"/>
  <c r="N235" i="1"/>
  <c r="O235" i="1" s="1"/>
  <c r="N239" i="1"/>
  <c r="O239" i="1" s="1"/>
  <c r="N242" i="1"/>
  <c r="O242" i="1" s="1"/>
  <c r="N245" i="1"/>
  <c r="O245" i="1" s="1"/>
  <c r="N249" i="1"/>
  <c r="O249" i="1" s="1"/>
  <c r="N251" i="1"/>
  <c r="O251" i="1" s="1"/>
  <c r="N254" i="1"/>
  <c r="O254" i="1" s="1"/>
  <c r="N260" i="1"/>
  <c r="O260" i="1" s="1"/>
  <c r="N262" i="1"/>
  <c r="O262" i="1" s="1"/>
  <c r="N265" i="1"/>
  <c r="O265" i="1" s="1"/>
  <c r="N271" i="1"/>
  <c r="O271" i="1" s="1"/>
  <c r="N274" i="1"/>
  <c r="O274" i="1" s="1"/>
  <c r="N277" i="1"/>
  <c r="O277" i="1" s="1"/>
  <c r="N280" i="1"/>
  <c r="O280" i="1" s="1"/>
  <c r="N284" i="1"/>
  <c r="O284" i="1" s="1"/>
  <c r="N287" i="1"/>
  <c r="O287" i="1" s="1"/>
  <c r="N289" i="1"/>
  <c r="O289" i="1" s="1"/>
  <c r="N291" i="1"/>
  <c r="O291" i="1" s="1"/>
  <c r="N293" i="1"/>
  <c r="O293" i="1" s="1"/>
  <c r="N299" i="1"/>
  <c r="O299" i="1" s="1"/>
  <c r="N301" i="1"/>
  <c r="O301" i="1" s="1"/>
  <c r="N305" i="1"/>
  <c r="O305" i="1" s="1"/>
  <c r="N309" i="1"/>
  <c r="O309" i="1" s="1"/>
  <c r="N311" i="1"/>
  <c r="O311" i="1" s="1"/>
  <c r="N313" i="1"/>
  <c r="O313" i="1" s="1"/>
  <c r="N316" i="1"/>
  <c r="O316" i="1" s="1"/>
  <c r="N318" i="1"/>
  <c r="O318" i="1" s="1"/>
  <c r="N321" i="1"/>
  <c r="O321" i="1" s="1"/>
  <c r="N324" i="1"/>
  <c r="O324" i="1" s="1"/>
  <c r="N327" i="1"/>
  <c r="O327" i="1" s="1"/>
  <c r="N330" i="1"/>
  <c r="O330" i="1" s="1"/>
  <c r="N333" i="1"/>
  <c r="O333" i="1" s="1"/>
  <c r="N335" i="1"/>
  <c r="O335" i="1" s="1"/>
  <c r="N337" i="1"/>
  <c r="O337" i="1" s="1"/>
  <c r="N341" i="1"/>
  <c r="O341" i="1" s="1"/>
  <c r="N343" i="1"/>
  <c r="O343" i="1" s="1"/>
  <c r="N346" i="1"/>
  <c r="O346" i="1" s="1"/>
  <c r="N350" i="1"/>
  <c r="O350" i="1" s="1"/>
  <c r="N354" i="1"/>
  <c r="O354" i="1" s="1"/>
  <c r="N356" i="1"/>
  <c r="O356" i="1" s="1"/>
  <c r="N361" i="1"/>
  <c r="O361" i="1" s="1"/>
  <c r="N362" i="1" l="1"/>
  <c r="O6" i="1"/>
  <c r="O362" i="1" s="1"/>
</calcChain>
</file>

<file path=xl/sharedStrings.xml><?xml version="1.0" encoding="utf-8"?>
<sst xmlns="http://schemas.openxmlformats.org/spreadsheetml/2006/main" count="953" uniqueCount="868">
  <si>
    <t/>
  </si>
  <si>
    <t>№ ПП</t>
  </si>
  <si>
    <t>КОД</t>
  </si>
  <si>
    <t>НАЗВАНИЕ РАБОТЫ</t>
  </si>
  <si>
    <t>ИЗМЕРИТЕЛЬ</t>
  </si>
  <si>
    <t>КОЛ-ВО ЕД. ИЗМ.</t>
  </si>
  <si>
    <t>ПЕРИОДИЧ- НОСТЬ В ГОД</t>
  </si>
  <si>
    <t>ТРУД. РЕСУРСЫ, РУБ.</t>
  </si>
  <si>
    <t>МАТЕР. РЕСУРСЫ, РУБ.</t>
  </si>
  <si>
    <t>МАШ. МЕХ., РУБ.</t>
  </si>
  <si>
    <t>НАКЛ. РАСХОДЫ, РУБ.</t>
  </si>
  <si>
    <t>ПРИБЫЛЬ, РУБ.</t>
  </si>
  <si>
    <t>РАСХОДЫ НА УПРАВ., РУБ.</t>
  </si>
  <si>
    <t>СТОИМОСТЬ, РУБ.</t>
  </si>
  <si>
    <t>НА КВ.М/МЕС</t>
  </si>
  <si>
    <t>1.11 МКД квартирного типа с газом, уборкой МОП и придомовой территории на 2026 год (ООО Квартал)</t>
  </si>
  <si>
    <t>Дата изменения:</t>
  </si>
  <si>
    <t>09.12.2025</t>
  </si>
  <si>
    <t>Общая площадь, кв.м:</t>
  </si>
  <si>
    <t>1.1</t>
  </si>
  <si>
    <t>Фундаменты</t>
  </si>
  <si>
    <t>1.1.2</t>
  </si>
  <si>
    <t>Осушение фундаментов</t>
  </si>
  <si>
    <t>1.1.2.3</t>
  </si>
  <si>
    <t>Осушение электрическими насосами</t>
  </si>
  <si>
    <t>100 м3 воды</t>
  </si>
  <si>
    <t>1.1.7</t>
  </si>
  <si>
    <t>Восстановление (ремонт)  освещения и  вентиляции  подвала</t>
  </si>
  <si>
    <t>1.1.7.1</t>
  </si>
  <si>
    <t>Замена неисправных участков электрической сети (скрытая проводка) при числе и сечении жил в проводе  2x1,5 и 2x2,5 кв.м.</t>
  </si>
  <si>
    <t>100 пог.м</t>
  </si>
  <si>
    <t>1.1.7.3</t>
  </si>
  <si>
    <t>Замена ламп накаливания</t>
  </si>
  <si>
    <t>100 шт.</t>
  </si>
  <si>
    <t>1.1.7.4</t>
  </si>
  <si>
    <t>Замена выключателей</t>
  </si>
  <si>
    <t>1.1.7.5</t>
  </si>
  <si>
    <t>Замена патронов</t>
  </si>
  <si>
    <t>1.1.8</t>
  </si>
  <si>
    <t>Восстановление (ремонт)  решеток на  продухах  фундамента</t>
  </si>
  <si>
    <t>100 решеток</t>
  </si>
  <si>
    <t>1.1.9</t>
  </si>
  <si>
    <t>Восстановление (ремонт)  приямков</t>
  </si>
  <si>
    <t>кв.м. приямка</t>
  </si>
  <si>
    <t>1.1.10</t>
  </si>
  <si>
    <t>Восстановление (ремонт) отмостки</t>
  </si>
  <si>
    <t>100 м2 отмостки</t>
  </si>
  <si>
    <t>1.1.12</t>
  </si>
  <si>
    <t>Восстановление (ремонт) вводов инженерных коммуникаций   в подвальные  помещения  через  фундаменты</t>
  </si>
  <si>
    <t>1.1.14</t>
  </si>
  <si>
    <t>Заделка на зиму вентиляционных продухов</t>
  </si>
  <si>
    <t>1 место</t>
  </si>
  <si>
    <t>1.2</t>
  </si>
  <si>
    <t>Кирпичные, каменные и железобетонные стены</t>
  </si>
  <si>
    <t>1.2.4</t>
  </si>
  <si>
    <t>Создание,  восстановление или модернизация гидроизоляции стен</t>
  </si>
  <si>
    <t>1.2.4.6</t>
  </si>
  <si>
    <t>Оштукатуривание поверхностей цоколя из камня или бетона цементно-известковым или цементным раствором</t>
  </si>
  <si>
    <t>100 м2 оштукатуриваемой  поверхности</t>
  </si>
  <si>
    <t>1.2.11</t>
  </si>
  <si>
    <t>Герметизация, теплоизоляция межпанельных и иных швов</t>
  </si>
  <si>
    <t>1.2.11.1</t>
  </si>
  <si>
    <t>Заделка и герметизация швов и стыков</t>
  </si>
  <si>
    <t>1.2.11.1.1</t>
  </si>
  <si>
    <t>Заделка и герметизация швов и стыков в стенах крупноблочных и крупнопанельных домов</t>
  </si>
  <si>
    <t>на 10 м шва (стыка)</t>
  </si>
  <si>
    <t>1.2.11.1.2</t>
  </si>
  <si>
    <t>Заделка и герметизация швов и стыков в местах примыкания балконных плит к стенам</t>
  </si>
  <si>
    <t>1.2.12</t>
  </si>
  <si>
    <t>Окраска  фасадов</t>
  </si>
  <si>
    <t>1.2.12.5</t>
  </si>
  <si>
    <t>Масляная окраска ранее окрашенных фасадов</t>
  </si>
  <si>
    <t>1.2.12.5.2</t>
  </si>
  <si>
    <t>Простая масляная окраска ранее окрашенных фасадов с подготовкой и расчисткой старой краски до 35 % с лестниц</t>
  </si>
  <si>
    <t>100 м2 окрашиваемой поверхности</t>
  </si>
  <si>
    <t>1.2.14</t>
  </si>
  <si>
    <t>Восстановление (ремонт)  водоотводящих устройств наружных  стен</t>
  </si>
  <si>
    <t>1.2.14.1</t>
  </si>
  <si>
    <t>Смена подвесных желобов</t>
  </si>
  <si>
    <t>100 м желоба</t>
  </si>
  <si>
    <t>1.2.17</t>
  </si>
  <si>
    <t>Окраска стен  помещений  общего  пользования</t>
  </si>
  <si>
    <t>1.2.17.3</t>
  </si>
  <si>
    <t>Масляная окраска ранее окрашенных поверхностей</t>
  </si>
  <si>
    <t>1.2.17.3.1</t>
  </si>
  <si>
    <t>Простая масляная окраска ранее окрашенных поверхностей</t>
  </si>
  <si>
    <t>100 м2 окрашенной поверхности</t>
  </si>
  <si>
    <t>1.2.17.4</t>
  </si>
  <si>
    <t>Окрашивание поверхностей стен водоэмульсионными составами</t>
  </si>
  <si>
    <t>1.2.17.4.3</t>
  </si>
  <si>
    <t>Окрашивание водоэмульсионными составами поверхностей стен, ранее окрашенных водоэмульсионной краской с расчисткой старой краски более 35%</t>
  </si>
  <si>
    <t>1.2.18</t>
  </si>
  <si>
    <t>Внутренняя отделка зданий</t>
  </si>
  <si>
    <t>1.2.18.1</t>
  </si>
  <si>
    <t>Ремонт внутренней штукатурки потолков отдельными местами</t>
  </si>
  <si>
    <t>100 кв. м</t>
  </si>
  <si>
    <t>1.2.18.9</t>
  </si>
  <si>
    <t>Окрашивание водоэмульсионными составами поверхностей потолков, ранее окрашенных известковой или клеевой краской с расчисткой старой краски более 35%</t>
  </si>
  <si>
    <t>1.2.19</t>
  </si>
  <si>
    <t>Установка групповых металлических почтовых ящиков на 6 отделений</t>
  </si>
  <si>
    <t>1 ящик</t>
  </si>
  <si>
    <t>1.3</t>
  </si>
  <si>
    <t>Деревянные стены</t>
  </si>
  <si>
    <t>1.3.5</t>
  </si>
  <si>
    <t>Создание,  восстановление или  модернизация гидроизоляции стен</t>
  </si>
  <si>
    <t>1.3.5.9</t>
  </si>
  <si>
    <t>100  м2 оштукатуриваемой  поверхности</t>
  </si>
  <si>
    <t>1.4</t>
  </si>
  <si>
    <t>Балконы, козырьки, лоджии и эркеры</t>
  </si>
  <si>
    <t>1.4.1</t>
  </si>
  <si>
    <t>Ремонт  несущих  конструкций  балконов,  лоджий,  козырьков и  эркеров</t>
  </si>
  <si>
    <t>1.4.1.2</t>
  </si>
  <si>
    <t>Восстановление козырьков</t>
  </si>
  <si>
    <t>кв.м.</t>
  </si>
  <si>
    <t>1.4.3</t>
  </si>
  <si>
    <t>Восстановление (ремонт), модернизация гидроизоляции  балконов, лоджий,   козырьков и  эркеров</t>
  </si>
  <si>
    <t>1.4.3.1</t>
  </si>
  <si>
    <t>Восстановление (ремонт) вручную гидроизоляции балконов, лоджий (при площади балкона до 5 кв.м) вручную</t>
  </si>
  <si>
    <t>100 кв.м.</t>
  </si>
  <si>
    <t>1.4.3.3</t>
  </si>
  <si>
    <t>Ремонт гидроизоляции козырьков</t>
  </si>
  <si>
    <t>1.5</t>
  </si>
  <si>
    <t>Перекрытия</t>
  </si>
  <si>
    <t>1.5.10</t>
  </si>
  <si>
    <t>Заделка  неплотностей вокруг  трубопроводов  отопления и   горячего  водоснабжения, проходящих через  перекрытия</t>
  </si>
  <si>
    <t>100 отверстий</t>
  </si>
  <si>
    <t>1.6</t>
  </si>
  <si>
    <t>Полы</t>
  </si>
  <si>
    <t>1.6.1</t>
  </si>
  <si>
    <t>Устранение  повреждений  полов в  местах  общего  пользования  многоквартирного дома</t>
  </si>
  <si>
    <t>1.6.1.1</t>
  </si>
  <si>
    <t>Заделка выбоин в цементных полах</t>
  </si>
  <si>
    <t>1.6.4</t>
  </si>
  <si>
    <t>Ремонт полов</t>
  </si>
  <si>
    <t>1.6.4.4</t>
  </si>
  <si>
    <t>Ремонт бетонных полов</t>
  </si>
  <si>
    <t>1.8</t>
  </si>
  <si>
    <t>Крыши и кровли</t>
  </si>
  <si>
    <t>1.8.1</t>
  </si>
  <si>
    <t>Устранение протечек кровли</t>
  </si>
  <si>
    <t>1.8.1.3</t>
  </si>
  <si>
    <t>Устранение  протечек рулонной кровли</t>
  </si>
  <si>
    <t>1.8.1.3.1</t>
  </si>
  <si>
    <t>Постановка заплат на покрытия из мягкой кровли</t>
  </si>
  <si>
    <t>100 м2 покрытий</t>
  </si>
  <si>
    <t>1.8.2</t>
  </si>
  <si>
    <t>Ремонт, модернизация кровли и крыши</t>
  </si>
  <si>
    <t>1.8.2.2</t>
  </si>
  <si>
    <t>Ремонт, модернизация рулонной кровли</t>
  </si>
  <si>
    <t>1.8.2.2.1</t>
  </si>
  <si>
    <t>Смена мягкой кровли в два слоя отдельными местами</t>
  </si>
  <si>
    <t>100 м2 сменяемого покрытия</t>
  </si>
  <si>
    <t>1.8.2.2.4</t>
  </si>
  <si>
    <t>Покрытие старых рулонных кровель готовым составом (мастикой)</t>
  </si>
  <si>
    <t>1.8.2.3</t>
  </si>
  <si>
    <t>Ремонт, модернизация кровли из штучных материалов</t>
  </si>
  <si>
    <t>1.8.2.3.1</t>
  </si>
  <si>
    <t>Ремонт, модернизация кровли из асбоцементных листов</t>
  </si>
  <si>
    <t>1.8.2.3.1.1</t>
  </si>
  <si>
    <t>Смена поврежденных листов асбоцементных кровель</t>
  </si>
  <si>
    <t>1.8.7</t>
  </si>
  <si>
    <t>Восстановление (ремонт) дымовых и  вентиляционных труб</t>
  </si>
  <si>
    <t>1.8.7.3</t>
  </si>
  <si>
    <t>Прочистка засоренных вентиляционных каналов</t>
  </si>
  <si>
    <t>10 м канала</t>
  </si>
  <si>
    <t>1.8.9</t>
  </si>
  <si>
    <t>Восстановление (ремонт) выходов на крышу</t>
  </si>
  <si>
    <t>1.8.9.1</t>
  </si>
  <si>
    <t>Окраска масляными составами ранее окрашенных металлических лестниц и дверей на крышу за 1 раз</t>
  </si>
  <si>
    <t>1.8.10</t>
  </si>
  <si>
    <t>Восстановление (ремонт) парапетов, архитектурных деталей и т.д.</t>
  </si>
  <si>
    <t>1.8.10.1</t>
  </si>
  <si>
    <t>Смена покрытия  парапетов или брандмауэров без обделки боковых сторон при ширине покрытия до 1 м</t>
  </si>
  <si>
    <t>100 м</t>
  </si>
  <si>
    <t>1.8.10.4</t>
  </si>
  <si>
    <t>Ремонт металлических парапетных решеток</t>
  </si>
  <si>
    <t>100 м решетки</t>
  </si>
  <si>
    <t>1.8.11</t>
  </si>
  <si>
    <t>Восстановление (ремонт) систем водоотвода</t>
  </si>
  <si>
    <t>1.8.11.2</t>
  </si>
  <si>
    <t>Ремонт водосточных труб с люлек</t>
  </si>
  <si>
    <t>100 м трубы</t>
  </si>
  <si>
    <t>1.8.11.4</t>
  </si>
  <si>
    <t>Смена воронок</t>
  </si>
  <si>
    <t>1.8.11.6</t>
  </si>
  <si>
    <t>Смена простых отливов</t>
  </si>
  <si>
    <t>1.8.12</t>
  </si>
  <si>
    <t>Ремонт примыканий и заделка стыков</t>
  </si>
  <si>
    <t>1.8.12.1</t>
  </si>
  <si>
    <t>Смена обделок примыканий из листовой стали к каменным стенам</t>
  </si>
  <si>
    <t>1.8.13</t>
  </si>
  <si>
    <t>Ремонт, утепление дверей с лестничных площадок на чердак</t>
  </si>
  <si>
    <t>1.8.13.3</t>
  </si>
  <si>
    <t>Замена обивки дверей стальным листом</t>
  </si>
  <si>
    <t>100  м2 двери</t>
  </si>
  <si>
    <t>1.9</t>
  </si>
  <si>
    <t>Оконные и дверные проемы</t>
  </si>
  <si>
    <t>1.9.1</t>
  </si>
  <si>
    <t>Восстановление (ремонт) дверей в помещениях  общего  пользования</t>
  </si>
  <si>
    <t>1.9.1.1</t>
  </si>
  <si>
    <t>Ремонт дверных полотен со сменой горизонтальных брусков обвязки на два сопряжения</t>
  </si>
  <si>
    <t>100 брусков</t>
  </si>
  <si>
    <t>1.9.1.2</t>
  </si>
  <si>
    <t>Ремонт дверных полотен со сменой вертикальных брусков обвязки на два сопряжения</t>
  </si>
  <si>
    <t>1.9.1.4</t>
  </si>
  <si>
    <t>Ремонт дверных коробок в узких каменных стенах</t>
  </si>
  <si>
    <t>10 коробок</t>
  </si>
  <si>
    <t>1.9.1.8</t>
  </si>
  <si>
    <t>Ремонт порогов шириной 100 мм</t>
  </si>
  <si>
    <t>100 отремонтированных мест</t>
  </si>
  <si>
    <t>1.9.1.10</t>
  </si>
  <si>
    <t>Смена дверных петель при одной сменяемой петле в полотне</t>
  </si>
  <si>
    <t>10 петель</t>
  </si>
  <si>
    <t>1.9.1.12</t>
  </si>
  <si>
    <t>Смена наличников дверных проемов из мягкой древесины с укреплением гвоздями</t>
  </si>
  <si>
    <t>1 п.м. наличника</t>
  </si>
  <si>
    <t>1.9.1.15</t>
  </si>
  <si>
    <t>Укрепление наличников дверных проемов</t>
  </si>
  <si>
    <t>1.9.1.16</t>
  </si>
  <si>
    <t>Смена пружины</t>
  </si>
  <si>
    <t>1 пружина</t>
  </si>
  <si>
    <t>1.9.1.17</t>
  </si>
  <si>
    <t>Смена ручки дверной</t>
  </si>
  <si>
    <t>1 ручка</t>
  </si>
  <si>
    <t>1.9.1.19</t>
  </si>
  <si>
    <t>Смена замков накладных</t>
  </si>
  <si>
    <t>100 замков</t>
  </si>
  <si>
    <t>1.9.1.20</t>
  </si>
  <si>
    <t>Смена замков врезных</t>
  </si>
  <si>
    <t>1.9.1.23</t>
  </si>
  <si>
    <t>Улучшенная масляная окраска дверей</t>
  </si>
  <si>
    <t>1.9.1.26</t>
  </si>
  <si>
    <t>Установка дверей и заслонок в проемах подвальных и чердачных помещений</t>
  </si>
  <si>
    <t>1 полотно</t>
  </si>
  <si>
    <t>1.9.2</t>
  </si>
  <si>
    <t>Восстановление (ремонт)  окон в  помещениях общего  пользования</t>
  </si>
  <si>
    <t>1.9.2.8</t>
  </si>
  <si>
    <t>Ремонт форточек</t>
  </si>
  <si>
    <t>10 форточек</t>
  </si>
  <si>
    <t>1.9.2.10</t>
  </si>
  <si>
    <t>Смена оконных петель при одной сменяемой петле в створке</t>
  </si>
  <si>
    <t>1.9.2.23</t>
  </si>
  <si>
    <t>Смена ручки оконной</t>
  </si>
  <si>
    <t>100 ручек</t>
  </si>
  <si>
    <t>1.9.2.25</t>
  </si>
  <si>
    <t>Простая масляная окраска оконных рам</t>
  </si>
  <si>
    <t>1.9.2.30</t>
  </si>
  <si>
    <t>Замена негодных деревянных жалюзей слуховых окон с изготовлением их</t>
  </si>
  <si>
    <t>1 штука</t>
  </si>
  <si>
    <t>1.9.2.31</t>
  </si>
  <si>
    <t>Малый ремонт слухового окна с исправлением обшивки и переплета</t>
  </si>
  <si>
    <t>1.9.2.33</t>
  </si>
  <si>
    <t>Остекление оконным стеклом окон в два переплета открывающихся в одну сторону</t>
  </si>
  <si>
    <t>100 м2 площади проемов по наружному обводу коробок</t>
  </si>
  <si>
    <t>1.9.6</t>
  </si>
  <si>
    <t>Восстановление (ремонт) дверных и оконных откосов</t>
  </si>
  <si>
    <t>1.9.6.2</t>
  </si>
  <si>
    <t>Восстановление (ремонт) штукатурки откосов каменных, блочных и крупнопанельных домов внутри здания</t>
  </si>
  <si>
    <t>100 кв.м. откосов</t>
  </si>
  <si>
    <t>1.9.6.5</t>
  </si>
  <si>
    <t>Восстановление (ремонт) штукатурки наружных откосов каменных, блочных и крупнопанельных домов</t>
  </si>
  <si>
    <t>100 м2 отремонтированной поверхности</t>
  </si>
  <si>
    <t>1.9.7</t>
  </si>
  <si>
    <t>Замена оконных и балконных блоков на пластиковые</t>
  </si>
  <si>
    <t>1.9.7.1</t>
  </si>
  <si>
    <t>Замена глухих окон на пластиковые с площадью проема до 2 кв.м</t>
  </si>
  <si>
    <t>100 м2 проемов</t>
  </si>
  <si>
    <t>1.10</t>
  </si>
  <si>
    <t>Лестницы</t>
  </si>
  <si>
    <t>1.10.3</t>
  </si>
  <si>
    <t>Ремонт  ограждений,  поручней и  предохранительных  сеток</t>
  </si>
  <si>
    <t>1.10.3.1</t>
  </si>
  <si>
    <t>Ремонт металлических лестничных решеток</t>
  </si>
  <si>
    <t>1.10.3.2</t>
  </si>
  <si>
    <t>Укрепление стоек металлических решеток ограждения  лестниц и площадок</t>
  </si>
  <si>
    <t>100 укрепляемых  стоек</t>
  </si>
  <si>
    <t>1.10.4</t>
  </si>
  <si>
    <t>Ремонт,  замена  перил</t>
  </si>
  <si>
    <t>1.10.4.1</t>
  </si>
  <si>
    <t>Смена отдельных частей поручней</t>
  </si>
  <si>
    <t>1.10.4.1.1</t>
  </si>
  <si>
    <t>Смена прямых  частей поручней</t>
  </si>
  <si>
    <t>1.10.4.2</t>
  </si>
  <si>
    <t>Изготовление прямых частей  поручня</t>
  </si>
  <si>
    <t>1.10.5</t>
  </si>
  <si>
    <t>Окраска  металлических  элементов  лестниц</t>
  </si>
  <si>
    <t>1.10.5.2</t>
  </si>
  <si>
    <t>Окраска масляными составами ранее окрашенных металлических решеток без рельефа за 2 раза</t>
  </si>
  <si>
    <t xml:space="preserve"> 100 м2 окрашиваемой поверхности</t>
  </si>
  <si>
    <t>1.10.6</t>
  </si>
  <si>
    <t>Ремонт  пандусов</t>
  </si>
  <si>
    <t>1.10.6.2</t>
  </si>
  <si>
    <t>Заделка отбитых мест</t>
  </si>
  <si>
    <t>100 мест</t>
  </si>
  <si>
    <t>1.10.7</t>
  </si>
  <si>
    <t>Прочие работы по ремонту лестниц</t>
  </si>
  <si>
    <t>1.10.7.1</t>
  </si>
  <si>
    <t>Окрашивание масляными составами торцов лестничных маршей и площадок</t>
  </si>
  <si>
    <t>1.10.7.2</t>
  </si>
  <si>
    <t>Окрашивание масляными составами деревянных поручней</t>
  </si>
  <si>
    <t>100  м поручня</t>
  </si>
  <si>
    <t>2.1</t>
  </si>
  <si>
    <t>Система теплоснабжения</t>
  </si>
  <si>
    <t>2.1.2</t>
  </si>
  <si>
    <t>Ремонт,  модернизация внутридомовых отопительных сетей</t>
  </si>
  <si>
    <t>2.1.2.1</t>
  </si>
  <si>
    <t>Смена отдельных участков трубопроводов из стальных водогазопроводных неоцинкованных труб на резьбе</t>
  </si>
  <si>
    <t>2.1.2.1.5</t>
  </si>
  <si>
    <t>Смена отдельных участков трубопроводов из стальных водогазопроводных неоцинкованных труб диаметром 40 мм</t>
  </si>
  <si>
    <t>100 м трубопровода</t>
  </si>
  <si>
    <t>2.1.3</t>
  </si>
  <si>
    <t>Ремонт,  промывка  отопительных  элементов</t>
  </si>
  <si>
    <t>2.1.3.1</t>
  </si>
  <si>
    <t>Смена радиаторных блоков</t>
  </si>
  <si>
    <t>2.1.3.1.2</t>
  </si>
  <si>
    <t>Смена радиаторных блоков, вес радиаторного блока до 80 кг</t>
  </si>
  <si>
    <t>100 радиаторных блоков</t>
  </si>
  <si>
    <t>2.1.3.5</t>
  </si>
  <si>
    <t>Прочистка и промывка отопительных приборов</t>
  </si>
  <si>
    <t>2.1.3.5.1</t>
  </si>
  <si>
    <t>Прочистка и промывка отопительных приборов радиаторов весом до 80 кг внутри здания</t>
  </si>
  <si>
    <t>100 приборов</t>
  </si>
  <si>
    <t>2.1.5</t>
  </si>
  <si>
    <t>Восстановление теплоизоляции  систем  теплоснабжения</t>
  </si>
  <si>
    <t>2.1.5.3</t>
  </si>
  <si>
    <t>Восстановление разрушенной тепловой изоляции</t>
  </si>
  <si>
    <t>2.1.5.3.3</t>
  </si>
  <si>
    <t>Восстановление разрушенной тепловой изоляции минераловатными матами</t>
  </si>
  <si>
    <t>100 м2 восстановленного участка</t>
  </si>
  <si>
    <t>2.1.6</t>
  </si>
  <si>
    <t>Ремонт или  замена  неисправных  приборов  учета и  регулирования</t>
  </si>
  <si>
    <t>2.1.6.1</t>
  </si>
  <si>
    <t>Ремонт прибора учета</t>
  </si>
  <si>
    <t>прибор</t>
  </si>
  <si>
    <t>2.1.6.2</t>
  </si>
  <si>
    <t>Замена прибора учета</t>
  </si>
  <si>
    <t>2.1.8</t>
  </si>
  <si>
    <t>Ремонт  насосов,  магистральной запорной арматуры,  автоматических устройств</t>
  </si>
  <si>
    <t>2.1.8.4</t>
  </si>
  <si>
    <t>Смена параллельной задвижки</t>
  </si>
  <si>
    <t>2.1.8.4.1</t>
  </si>
  <si>
    <t>Смена параллельной задвижки,  диаметром до 100 мм</t>
  </si>
  <si>
    <t>100 задвижек</t>
  </si>
  <si>
    <t>2.1.8.8</t>
  </si>
  <si>
    <t>Смена вентиля</t>
  </si>
  <si>
    <t>2.1.8.8.1</t>
  </si>
  <si>
    <t>Смена вентиля диаметром до 25 мм</t>
  </si>
  <si>
    <t>100 вентилей</t>
  </si>
  <si>
    <t>2.1.8.9</t>
  </si>
  <si>
    <t>Установка кранов для спуска воздуха из системы</t>
  </si>
  <si>
    <t>2.1.8.9.1</t>
  </si>
  <si>
    <t>Установка кранов для спуска воздуха из системы, диаметр крана 15-20 мм</t>
  </si>
  <si>
    <t>100 кранов</t>
  </si>
  <si>
    <t>2.2</t>
  </si>
  <si>
    <t>Системы холодного и горячего водоснабжения</t>
  </si>
  <si>
    <t>2.2.1</t>
  </si>
  <si>
    <t>Ремонт,  замена  внутридомовых сетей водоснабжения</t>
  </si>
  <si>
    <t>2.2.1.1</t>
  </si>
  <si>
    <t>Смена отдельных участков трубопроводов  горячего водоснабжения из стальных водогазопроводных оцинкованных труб при соединении труб на резьбе</t>
  </si>
  <si>
    <t>2.2.1.1.2</t>
  </si>
  <si>
    <t>Смена отдельных участков трубопроводов   водоснабжения из стальных водогазопроводных оцинкованных труб диаметром  20 мм</t>
  </si>
  <si>
    <t>100 м трубопроводов</t>
  </si>
  <si>
    <t>2.2.1.1.4</t>
  </si>
  <si>
    <t>Смена отдельных участков трубопроводов водоснабжения из стальных водогазопроводных оцинкованных труб диаметром 32 мм</t>
  </si>
  <si>
    <t>2.2.1.6</t>
  </si>
  <si>
    <t>Временная заделка свищей и трещин на внутренних трубопроводах и стояках</t>
  </si>
  <si>
    <t>2.2.1.6.1</t>
  </si>
  <si>
    <t>Временная заделка свищей и трещин на внутренних трубопроводах и стояках при диаметре трубопровода до 50 мм</t>
  </si>
  <si>
    <t>2.2.1.7</t>
  </si>
  <si>
    <t>Смена сгонов у трубопроводов</t>
  </si>
  <si>
    <t>2.2.1.7.1</t>
  </si>
  <si>
    <t>Смена сгонов у трубопроводов диаметром до 20 мм</t>
  </si>
  <si>
    <t>100 сгонов</t>
  </si>
  <si>
    <t>2.2.1.8</t>
  </si>
  <si>
    <t>Уплотнение сгонов</t>
  </si>
  <si>
    <t>2.2.1.8.1</t>
  </si>
  <si>
    <t>Уплотнение сгонов с применением льняной пряди или асбестового шнура (без разборки сгонов) диаметром до 20 мм</t>
  </si>
  <si>
    <t>1 сгон</t>
  </si>
  <si>
    <t>2.2.2</t>
  </si>
  <si>
    <t>Ремонт, замена, проверка приборов учета воды</t>
  </si>
  <si>
    <t>2.2.2.1</t>
  </si>
  <si>
    <t>Ремонт приборов учета воды</t>
  </si>
  <si>
    <t>2.2.2.1.6</t>
  </si>
  <si>
    <t>Обслуживание преобразователя давления</t>
  </si>
  <si>
    <t>1  преобразователь давления</t>
  </si>
  <si>
    <t>2.2.2.1.7</t>
  </si>
  <si>
    <t>Обслуживание термопреобразователя</t>
  </si>
  <si>
    <t>1  термопреобразователь</t>
  </si>
  <si>
    <t>2.2.2.1.8</t>
  </si>
  <si>
    <t>Обслуживание преобразователя расхода до 50 мм</t>
  </si>
  <si>
    <t>1 преобразователь расхода</t>
  </si>
  <si>
    <t>2.2.2.1.9</t>
  </si>
  <si>
    <t>Обслуживание преобразователя расхода от 50 до  100 мм</t>
  </si>
  <si>
    <t>2.2.2.2</t>
  </si>
  <si>
    <t>Замена прибора учета воды</t>
  </si>
  <si>
    <t>2.2.2.2.2</t>
  </si>
  <si>
    <t>Замена прибора учета воды без фильтра</t>
  </si>
  <si>
    <t>Счетчик воды</t>
  </si>
  <si>
    <t>2.2.4</t>
  </si>
  <si>
    <t>Теплоизоляция сетей  горячего  водоснабжения</t>
  </si>
  <si>
    <t>100 м2 утепленного участка</t>
  </si>
  <si>
    <t>2.2.6</t>
  </si>
  <si>
    <t>Ремонт оборудования, приборов и арматуры водопроводной сети общего пользования</t>
  </si>
  <si>
    <t>2.2.6.1</t>
  </si>
  <si>
    <t>Смена вентилей и клапанов обратных муфтовых диаметром до 20 мм</t>
  </si>
  <si>
    <t>2.2.6.5</t>
  </si>
  <si>
    <t>Смена задвижек диаметром до 100 мм</t>
  </si>
  <si>
    <t>2.3</t>
  </si>
  <si>
    <t>Система водоотведения</t>
  </si>
  <si>
    <t>2.3.1</t>
  </si>
  <si>
    <t>Смена отдельных участков трубопроводов канализации из полиэтиленовых труб высокой плотности</t>
  </si>
  <si>
    <t>2.3.1.2</t>
  </si>
  <si>
    <t>Смена горизонтальных участков трубопроводов канализации из полиэтиленовых труб высокой плотности диаметром 100 мм</t>
  </si>
  <si>
    <t>2.3.1.4</t>
  </si>
  <si>
    <t>Смена вертикальных участков трубопроводов канализации из полиэтиленовых труб высокой плотности диаметром 100 мм</t>
  </si>
  <si>
    <t>2.3.3</t>
  </si>
  <si>
    <t>Подчеканка раструбов канализационных труб</t>
  </si>
  <si>
    <t>2.3.3.3</t>
  </si>
  <si>
    <t>Подчеканка раструбов чугунных канализационных труб</t>
  </si>
  <si>
    <t>2.3.3.3.3</t>
  </si>
  <si>
    <t>Подчеканка раструбов  чугунных  канализационных труб диаметром до 100 мм</t>
  </si>
  <si>
    <t>100  раструбов</t>
  </si>
  <si>
    <t>2.3.4</t>
  </si>
  <si>
    <t>Устранение засоров внутренних канализационных трубопроводов</t>
  </si>
  <si>
    <t>2.3.5</t>
  </si>
  <si>
    <t>Заделка стыков соединений стояков внутренних водостоков</t>
  </si>
  <si>
    <t>100 соединений</t>
  </si>
  <si>
    <t>2.4</t>
  </si>
  <si>
    <t>Система газоснабжения</t>
  </si>
  <si>
    <t>2.4.1</t>
  </si>
  <si>
    <t>Ремонт внутридомовых сетей  газоснабжения</t>
  </si>
  <si>
    <t>2.4.1.1</t>
  </si>
  <si>
    <t>Техническое обслуживание внутридомовых газопроводов</t>
  </si>
  <si>
    <t>2.4.1.1.1</t>
  </si>
  <si>
    <t>Техническое обслуживание внутридомовых газопроводов диаметром до 25 мм</t>
  </si>
  <si>
    <t>100 пог. м.</t>
  </si>
  <si>
    <t>2.4.1.1.2</t>
  </si>
  <si>
    <t>Техническое обслуживание внутридомовых газопроводов диаметром 25-50 мм</t>
  </si>
  <si>
    <t>2.4.1.5</t>
  </si>
  <si>
    <t>Проверка работоспособности и смазка отключающих устройств</t>
  </si>
  <si>
    <t>1 устройство</t>
  </si>
  <si>
    <t>2.4.2</t>
  </si>
  <si>
    <t>Содержание и ремонт внутридомового и (или) внутриквартирного газового оборудования</t>
  </si>
  <si>
    <t>2.4.2.3</t>
  </si>
  <si>
    <t>Визуальная проверка (осмотр) газового оборудования</t>
  </si>
  <si>
    <t>1 оборудование</t>
  </si>
  <si>
    <t>2.4.2.4</t>
  </si>
  <si>
    <t>Проверка герметичности соединений и отключающих устройств</t>
  </si>
  <si>
    <t>1 соединение</t>
  </si>
  <si>
    <t>2.4.2.9</t>
  </si>
  <si>
    <t>Техническое обслуживание внутридомового газового оборудования многоквартирных домов</t>
  </si>
  <si>
    <t>2.4.2.9.1</t>
  </si>
  <si>
    <t>Проверка герметичности внутридомового газопровода и технологических устройств на нем при количестве приборов на одном стояке до 5 шт.</t>
  </si>
  <si>
    <t>стояк</t>
  </si>
  <si>
    <t>2.4.2.9.2</t>
  </si>
  <si>
    <t>Проверка герметичности внутридомового газопровода и технологических устройств на нем при количестве приборов на одном стояке 6-10 шт.</t>
  </si>
  <si>
    <t>2.4.2.9.3</t>
  </si>
  <si>
    <t>Проверка герметичности внутридомового газопровода и технологических устройств на нем при количестве приборов на одном стояке 11-15 шт.</t>
  </si>
  <si>
    <t>2.4.2.9.4</t>
  </si>
  <si>
    <t>Проверка герметичности внутридомового газопровода и технологических устройств на нем при количестве приборов на одном стояке свыше 15 шт.</t>
  </si>
  <si>
    <t>2.5</t>
  </si>
  <si>
    <t>Внутридомовое электро-, радио- и телеоборудование</t>
  </si>
  <si>
    <t>2.5.1</t>
  </si>
  <si>
    <t>Ремонт,  замена  шкафов  вводных и  вводно-распределительных устройств</t>
  </si>
  <si>
    <t>2.5.1.1</t>
  </si>
  <si>
    <t>Замена пакетных переключателей вводно-распределительных устройств и шкафов</t>
  </si>
  <si>
    <t>1 переключатель</t>
  </si>
  <si>
    <t>2.5.1.4</t>
  </si>
  <si>
    <t>Замена предохранителя</t>
  </si>
  <si>
    <t>1 предохранитель</t>
  </si>
  <si>
    <t>2.5.4</t>
  </si>
  <si>
    <t>Ремонт, замена  внутридомовых электрических сетей</t>
  </si>
  <si>
    <t>1000 пог.м.</t>
  </si>
  <si>
    <t>2.5.5</t>
  </si>
  <si>
    <t>Ремонт, замена этажных  щитков и  шкафов</t>
  </si>
  <si>
    <t>2.5.5.2</t>
  </si>
  <si>
    <t>Ремонт щитков</t>
  </si>
  <si>
    <t>1 щит</t>
  </si>
  <si>
    <t>2.5.6</t>
  </si>
  <si>
    <t>Ремонт,  замена  приборов  учета и регулирования общего   пользования</t>
  </si>
  <si>
    <t>2.5.6.9</t>
  </si>
  <si>
    <t>Обслуживание трехфазных счетчиков электроэнергии</t>
  </si>
  <si>
    <t>100 счетчиков</t>
  </si>
  <si>
    <t>2.5.7</t>
  </si>
  <si>
    <t>Ремонт,  замена  осветительных установок  помещений   общего  пользования</t>
  </si>
  <si>
    <t>2.5.7.6</t>
  </si>
  <si>
    <t>Замена лампы накаливания на энергосберегательную</t>
  </si>
  <si>
    <t>1 лампа</t>
  </si>
  <si>
    <t>2.5.7.8</t>
  </si>
  <si>
    <t>Замена светильника на светильник светодиодный с датчиком движения</t>
  </si>
  <si>
    <t>1 светильник</t>
  </si>
  <si>
    <t>2.6</t>
  </si>
  <si>
    <t>Подготовка многоквартирного дома к сезонной эксплуатации, проведение технических осмотров</t>
  </si>
  <si>
    <t>2.6.1</t>
  </si>
  <si>
    <t>Укрепление водосточных труб, колен, воронок</t>
  </si>
  <si>
    <t>2.6.1.1</t>
  </si>
  <si>
    <t>Укрепление водосточных труб, колен, воронок с лестниц или подмостей</t>
  </si>
  <si>
    <t>1 ухват</t>
  </si>
  <si>
    <t>2.6.3</t>
  </si>
  <si>
    <t>Замена разбитых стекол окон и дверей в помещениях общего пользования</t>
  </si>
  <si>
    <t>2.6.3.5</t>
  </si>
  <si>
    <t>Смена стекол на штапиках без замазки</t>
  </si>
  <si>
    <t>100 м фальца</t>
  </si>
  <si>
    <t>2.6.8</t>
  </si>
  <si>
    <t>Проведение технических осмотров и мелкий ремонт стен, полов, перекрытий</t>
  </si>
  <si>
    <t>2.6.8.1</t>
  </si>
  <si>
    <t>Осмотр территории вокруг здания и фундамента</t>
  </si>
  <si>
    <t>1000 кв.м. общей площади</t>
  </si>
  <si>
    <t>2.6.8.2</t>
  </si>
  <si>
    <t>Осмотр кирпичных и железобетонных стен, фасадов</t>
  </si>
  <si>
    <t>2.6.8.6</t>
  </si>
  <si>
    <t>Осмотр железобетонных перекрытий</t>
  </si>
  <si>
    <t>2.6.8.7</t>
  </si>
  <si>
    <t>Осмотр железобетонных покрытий</t>
  </si>
  <si>
    <t>1000 кв.м. полов</t>
  </si>
  <si>
    <t>2.6.8.8</t>
  </si>
  <si>
    <t>Осмотр внутренней отделки стен</t>
  </si>
  <si>
    <t>2.6.8.9</t>
  </si>
  <si>
    <t>Осмотр заполнения дверных и оконных проемов</t>
  </si>
  <si>
    <t>2.6.9</t>
  </si>
  <si>
    <t>Осмотр всех элементов кровли, водостоков</t>
  </si>
  <si>
    <t>2.6.9.1</t>
  </si>
  <si>
    <t>Осмотр всех элементов стальных кровель, водостоков</t>
  </si>
  <si>
    <t>1000 кв.м. кровли</t>
  </si>
  <si>
    <t>2.6.9.2</t>
  </si>
  <si>
    <t>Осмотр всех элементов рулонных кровель, водостоков</t>
  </si>
  <si>
    <t>2.6.9.3</t>
  </si>
  <si>
    <t>Осмотр всех элементов кровель из штучных материалов, водостоков</t>
  </si>
  <si>
    <t>2.6.11</t>
  </si>
  <si>
    <t>Проведение технических осмотров и устранение незначительных неисправностей в  системах водоснабжения и  водоотведения</t>
  </si>
  <si>
    <t>2.6.11.1</t>
  </si>
  <si>
    <t>Осмотр водопровода, канализации и горячего водоснабжения</t>
  </si>
  <si>
    <t>100 квартир</t>
  </si>
  <si>
    <t>2.6.11.4</t>
  </si>
  <si>
    <t>Проверка исправности  канализационных  вытяжек</t>
  </si>
  <si>
    <t>2.6.12</t>
  </si>
  <si>
    <t>Проведение технических осмотров и устранение незначительных неисправностей в  системах вентиляции</t>
  </si>
  <si>
    <t>2.6.12.1</t>
  </si>
  <si>
    <t>Проверка наличия тяги в  дымовентиляционных каналах</t>
  </si>
  <si>
    <t>2.6.12.2</t>
  </si>
  <si>
    <t>Проведение технических осмотров и устранение незначительных неисправностей в системе вентиляции</t>
  </si>
  <si>
    <t>2.6.13</t>
  </si>
  <si>
    <t>Проведение технических осмотров и устранение незначительных неисправностей в   электротехнических устройствах</t>
  </si>
  <si>
    <t>2.6.13.1</t>
  </si>
  <si>
    <t>Осмотр  электросети, арматуры, электрооборудования на лестничных клетках</t>
  </si>
  <si>
    <t>100 лестничных площадок</t>
  </si>
  <si>
    <t>2.6.13.3</t>
  </si>
  <si>
    <t>Проверка изоляции электропроводки и ее укрепление</t>
  </si>
  <si>
    <t>2.6.13.5</t>
  </si>
  <si>
    <t>Замеры сопротивления изоляции проводов</t>
  </si>
  <si>
    <t xml:space="preserve">измерение 1         </t>
  </si>
  <si>
    <t>2.6.14</t>
  </si>
  <si>
    <t>Проведение технических осмотров и устранение незначительных неисправностей в  системе   теплоснабжения</t>
  </si>
  <si>
    <t>2.6.14.1</t>
  </si>
  <si>
    <t>Осмотр системы центрального отопления</t>
  </si>
  <si>
    <t>2.6.14.1.1</t>
  </si>
  <si>
    <t>Осмотр внутриквартирных устройств системы центрального отопления</t>
  </si>
  <si>
    <t>2.6.14.1.2</t>
  </si>
  <si>
    <t>Осмотр устройства системы центрального отопления в чердачных и подвальных помещениях</t>
  </si>
  <si>
    <t>1000 м2 осматриваемых помещений</t>
  </si>
  <si>
    <t>2.6.14.2</t>
  </si>
  <si>
    <t>Регулировка и наладка систем отопления</t>
  </si>
  <si>
    <t>1 здание</t>
  </si>
  <si>
    <t>2.6.14.3</t>
  </si>
  <si>
    <t>Гидравлическое испытание трубопроводов систем центрального отопления (расконсервация)</t>
  </si>
  <si>
    <t>2.6.14.3.2</t>
  </si>
  <si>
    <t>Рабочая проверка системы в целом при диаметре трубопровода до 50 мм</t>
  </si>
  <si>
    <t>2.6.14.4</t>
  </si>
  <si>
    <t>Промывка трубопроводов системы центрального отопления</t>
  </si>
  <si>
    <t>2.6.14.4.2</t>
  </si>
  <si>
    <t>Промывка трубопроводов системы центрального отопления до 100 мм</t>
  </si>
  <si>
    <t>10 м трубопровода (100 м3 здания)</t>
  </si>
  <si>
    <t>2.6.14.5</t>
  </si>
  <si>
    <t>Устранение незначительных неисправностей в  системе   теплоснабжения</t>
  </si>
  <si>
    <t>2.6.14.5.3</t>
  </si>
  <si>
    <t>Вывертывание и ввертывание радиаторной пробки</t>
  </si>
  <si>
    <t>100 пробок</t>
  </si>
  <si>
    <t>2.6.14.5.5</t>
  </si>
  <si>
    <t>Ликвидация воздушных пробок в системе отопления</t>
  </si>
  <si>
    <t>2.6.14.5.5.1</t>
  </si>
  <si>
    <t>Ликвидация воздушных пробок в стояке системы отопления</t>
  </si>
  <si>
    <t>100 стояков</t>
  </si>
  <si>
    <t>2.6.14.5.5.2</t>
  </si>
  <si>
    <t>Ликвидация воздушных пробок в радиаторном блоке</t>
  </si>
  <si>
    <t>2.6.14.5.6</t>
  </si>
  <si>
    <t>Ремонт кранов регулировки у радиаторных блоков</t>
  </si>
  <si>
    <t>2.6.14.5.7</t>
  </si>
  <si>
    <t>Мелкий ремонт изоляции</t>
  </si>
  <si>
    <t>2.6.14.5.7.1</t>
  </si>
  <si>
    <t>Мелкий ремонт изоляции трубопроводов при диаметре 50 мм</t>
  </si>
  <si>
    <t>2.6.15</t>
  </si>
  <si>
    <t>Проверка и ремонт коллективных приборов  учета</t>
  </si>
  <si>
    <t>2.6.15.1</t>
  </si>
  <si>
    <t>Проверка и обслуживание приборов учета воды диаметром 25-40 мм</t>
  </si>
  <si>
    <t>2.6.15.1.1</t>
  </si>
  <si>
    <t>Визуальный осмотр узла учета и проверка наличия и нарушения пломб (прибор учета воды диаметром 25-40 мм)</t>
  </si>
  <si>
    <t>1 прибор учета</t>
  </si>
  <si>
    <t>2.6.15.1.2</t>
  </si>
  <si>
    <t>Снятие и запись показаний приборов учета воды диаметром 25-40 мм</t>
  </si>
  <si>
    <t>2.6.15.1.7</t>
  </si>
  <si>
    <t>При отказе или неисправной работе прибора учета воды диаметром 25-40 мм - поиск неисправностей</t>
  </si>
  <si>
    <t>2.6.15.1.8</t>
  </si>
  <si>
    <t>Проверка работоспособности водозапорной арматуры приборов учета воды диаметром 25-40 мм</t>
  </si>
  <si>
    <t>2.6.15.2</t>
  </si>
  <si>
    <t>Проверка и обслуживание коллективных приборов учета воды диаметром 50-250 мм</t>
  </si>
  <si>
    <t>2.6.15.2.1</t>
  </si>
  <si>
    <t>Визуальный осмотр прибора учета воды диаметром 50-250 мм и проверка наличия и нарушения пломб</t>
  </si>
  <si>
    <t>2.6.15.2.4</t>
  </si>
  <si>
    <t>Проверка работоспособности запорной арматуры и очистка фильтров приборов учета воды диаметром 50-250 мм</t>
  </si>
  <si>
    <t>1 фильтр</t>
  </si>
  <si>
    <t>2.6.15.3</t>
  </si>
  <si>
    <t>Проверка и обслуживание коллективных узлов учета тепловой энергии диаметром 25-40 мм</t>
  </si>
  <si>
    <t>2.6.15.3.8</t>
  </si>
  <si>
    <t>Выборочная метрологическая поверка теплосчетчиков (проверка функционирования теплосчетчиков)</t>
  </si>
  <si>
    <t>2.6.15.3.8.4</t>
  </si>
  <si>
    <t>Съем данных с тепловычислителя с помощью переносного компьютера, адаптера (выборочная метрологическая поверка теплосчетчиков диаметром 25-40 мм)</t>
  </si>
  <si>
    <t>1 узел учета</t>
  </si>
  <si>
    <t>2.6.15.4</t>
  </si>
  <si>
    <t>Проверка и обслуживание коллективных узлов учета тепловой энергии диаметром 50-250 мм</t>
  </si>
  <si>
    <t>2.6.15.4.8</t>
  </si>
  <si>
    <t>Выборочная метрологическая поверка теплосчетчиков</t>
  </si>
  <si>
    <t>2.6.15.4.8.1</t>
  </si>
  <si>
    <t>Проверка работоспособности водозапорной арматуры (выборочная метрологическая поверка теплосчетчиков диаметром 50-250 мм)</t>
  </si>
  <si>
    <t>2.6.15.4.8.3</t>
  </si>
  <si>
    <t>Поверка (настройка) тепловычислителя (выборочная метрологическая поверка теплосчетчиков диаметром 50-250 мм)</t>
  </si>
  <si>
    <t>2.6.15.4.8.5</t>
  </si>
  <si>
    <t>Обсчет данных, оформление справок, распечатка архивов данных (выборочная метрологическая поверка теплосчетчиков диаметром 50-250 мм)</t>
  </si>
  <si>
    <t>2.6.15.5</t>
  </si>
  <si>
    <t>Установка и снятие (монтаж, демонтаж) прибора учета тепловой энергии</t>
  </si>
  <si>
    <t>2.6.15.5.1</t>
  </si>
  <si>
    <t>Снятие (демонтаж) прибора учета тепловой энергии, диаметром до 50 мм</t>
  </si>
  <si>
    <t>1 прибор</t>
  </si>
  <si>
    <t>2.6.15.5.2</t>
  </si>
  <si>
    <t>Установка (монтаж) прибора учета тепловой энергии, диаметром до 50 мм</t>
  </si>
  <si>
    <t>3.1</t>
  </si>
  <si>
    <t>Работы по санитарному содержанию помещений общего пользования, системы мусороудаления и фасадов</t>
  </si>
  <si>
    <t>3.1.1</t>
  </si>
  <si>
    <t>Подметание и мытье полов во всех помещениях  общего пользования, кабинах лифта и их влажная уборка</t>
  </si>
  <si>
    <t>3.1.1.1</t>
  </si>
  <si>
    <t>Подметание и влажная уборка полов во всех помещениях  общего пользования в многоквартирном доме без лифтов и мусоропровода</t>
  </si>
  <si>
    <t>3.1.1.1.1</t>
  </si>
  <si>
    <t>Подметание лестничных площадок и маршей</t>
  </si>
  <si>
    <t>3.1.1.1.1.1</t>
  </si>
  <si>
    <t>Подметание лестничных площадок и маршей нижних трех этажей с предварительным их увлажнением (в доме без лифтов и мусоропровода)</t>
  </si>
  <si>
    <t>100 м2 убираемой  площади</t>
  </si>
  <si>
    <t>3.1.1.1.1.2</t>
  </si>
  <si>
    <t>Подметание лестничных площадок и маршей выше третьего этажа с предварительным их увлажнением (в доме без лифтов и мусоропровода)</t>
  </si>
  <si>
    <t>100 м2  убираемой  площади</t>
  </si>
  <si>
    <t>3.1.1.1.2</t>
  </si>
  <si>
    <t>Мытье лестничных площадок и маршей</t>
  </si>
  <si>
    <t>3.1.1.1.2.1</t>
  </si>
  <si>
    <t>Мытье  лестничных площадок и маршей нижних трех этажей (в доме без лифтов и мусоропровода)</t>
  </si>
  <si>
    <t>3.1.1.1.2.2</t>
  </si>
  <si>
    <t>Мытье  лестничных площадок и маршей  выше третьего этажа (в доме без лифтов и мусоропровода)</t>
  </si>
  <si>
    <t>3.1.3</t>
  </si>
  <si>
    <t>Протирка пыли  с колпаков  светильников, подоконников в помещениях общего  пользования</t>
  </si>
  <si>
    <t>3.1.3.1</t>
  </si>
  <si>
    <t>Протирка пыли  с колпаков  светильников (в подвалах, на чердаках и лестничных клетках)</t>
  </si>
  <si>
    <t>3.1.3.2</t>
  </si>
  <si>
    <t>Протирка пыли  с подоконников в помещениях общего  пользования</t>
  </si>
  <si>
    <t xml:space="preserve">100 м2 подоконников </t>
  </si>
  <si>
    <t>3.1.4</t>
  </si>
  <si>
    <t>Мытье и протирка дверей и окон в помещениях общего пользования, включая двери  мусорных камер</t>
  </si>
  <si>
    <t>3.1.4.1</t>
  </si>
  <si>
    <t>Мытье и протирка дверей  в помещениях общего пользования</t>
  </si>
  <si>
    <t>100 м2 дверей</t>
  </si>
  <si>
    <t>3.1.4.2</t>
  </si>
  <si>
    <t>Мытье и протирка оконных рам и переплетов в помещениях общего пользования</t>
  </si>
  <si>
    <t>100 м2 оконных рам</t>
  </si>
  <si>
    <t>3.1.4.3</t>
  </si>
  <si>
    <t>Мытье и протирка легкодоступных стекол в окнах  в помещениях общего пользования</t>
  </si>
  <si>
    <t>100 м2 окон</t>
  </si>
  <si>
    <t>3.1.5</t>
  </si>
  <si>
    <t>Уборка чердачного  и подвального помещений</t>
  </si>
  <si>
    <t>3.1.5.2</t>
  </si>
  <si>
    <t>Уборка и транспортировка мусора в установленное место</t>
  </si>
  <si>
    <t>3.1.5.2.1</t>
  </si>
  <si>
    <t>Уборка мусора и транспортировкой мусора до 50 м</t>
  </si>
  <si>
    <t>1 м3  мусора</t>
  </si>
  <si>
    <t>3.1.5.3</t>
  </si>
  <si>
    <t>Очистка чердаков  и подвалов от строительного мусора</t>
  </si>
  <si>
    <t>100 кг строительного мусора</t>
  </si>
  <si>
    <t>3.1.9</t>
  </si>
  <si>
    <t>Влажная протирка элементов лестничных клеток</t>
  </si>
  <si>
    <t>3.1.9.1</t>
  </si>
  <si>
    <t>Влажная протирка почтовых ящиков (с моющим средством)</t>
  </si>
  <si>
    <t>100 кв.м почтовых ящиков</t>
  </si>
  <si>
    <t>3.1.9.3</t>
  </si>
  <si>
    <t>Влажная протирка оконных решеток  (с моющим средством)</t>
  </si>
  <si>
    <t>100 кв.м решеток</t>
  </si>
  <si>
    <t>3.1.9.5</t>
  </si>
  <si>
    <t>Влажная протирка шкафов для электросчетчиков слаботочных устройств  (с моющим средством)</t>
  </si>
  <si>
    <t>100 кв. м шкафов для электросчетчиков слаботочных устройств</t>
  </si>
  <si>
    <t>3.1.9.7</t>
  </si>
  <si>
    <t>Влажная протирка перил лестниц (с моющим средством)</t>
  </si>
  <si>
    <t>100 кв.м. перил лестниц</t>
  </si>
  <si>
    <t>3.1.9.10</t>
  </si>
  <si>
    <t>Влажная протирка стен (с моющим средством)</t>
  </si>
  <si>
    <t>100 кв. м стен</t>
  </si>
  <si>
    <t>3.1.9.11</t>
  </si>
  <si>
    <t>Влажная протирка отопительных приборов (моющим средством)</t>
  </si>
  <si>
    <t>100 кв. м отопительных приборов</t>
  </si>
  <si>
    <t>3.1.11</t>
  </si>
  <si>
    <t>Обметание пыли с потолков</t>
  </si>
  <si>
    <t>100 кв. м. потолков</t>
  </si>
  <si>
    <t>3.2</t>
  </si>
  <si>
    <t>Уборка земельного участка, входящего в состав общего имущества многоквартирного дома</t>
  </si>
  <si>
    <t>3.2.1</t>
  </si>
  <si>
    <t>Подметание  земельного  участка в летний период</t>
  </si>
  <si>
    <t>3.2.1.2</t>
  </si>
  <si>
    <t>Подметание в летний период  земельного участка с усовершенствованным покрытием 2 класса</t>
  </si>
  <si>
    <t>1 000 кв.м. территории</t>
  </si>
  <si>
    <t>3.2.3</t>
  </si>
  <si>
    <t>Уборка и уход за газонами, очистка  урн</t>
  </si>
  <si>
    <t>3.2.3.1</t>
  </si>
  <si>
    <t>Уборка и уход за газонами</t>
  </si>
  <si>
    <t>3.2.3.1.2</t>
  </si>
  <si>
    <t>Уборка газонов сильной засоренности от листьев, сучьев, мусора</t>
  </si>
  <si>
    <t>100 000 кв.м. территории</t>
  </si>
  <si>
    <t>3.2.3.1.3</t>
  </si>
  <si>
    <t>Уборка газонов от случайного мусора</t>
  </si>
  <si>
    <t>100 000 м2</t>
  </si>
  <si>
    <t>3.2.3.1.5</t>
  </si>
  <si>
    <t>Стрижка газонов</t>
  </si>
  <si>
    <t>на 100 кв.м.</t>
  </si>
  <si>
    <t>3.2.3.2</t>
  </si>
  <si>
    <t>Содержание урн</t>
  </si>
  <si>
    <t>3.2.3.2.10</t>
  </si>
  <si>
    <t>Очистка опрокидывающихся урн от мусора</t>
  </si>
  <si>
    <t>на 100 урн</t>
  </si>
  <si>
    <t>3.2.4</t>
  </si>
  <si>
    <t>Подрезка деревьев и кустов</t>
  </si>
  <si>
    <t>3.2.4.1</t>
  </si>
  <si>
    <t>Формовочная обрезка деревьев высотой более 5 м</t>
  </si>
  <si>
    <t>100 деревьев</t>
  </si>
  <si>
    <t>3.2.5</t>
  </si>
  <si>
    <t>Очистка и текущий ремонт детских и спортивных  площадок, элементов  благоустройства</t>
  </si>
  <si>
    <t>3.2.5.1</t>
  </si>
  <si>
    <t>Уборка детских и спортивных площадок</t>
  </si>
  <si>
    <t>1000 кв.м.</t>
  </si>
  <si>
    <t>3.2.5.2</t>
  </si>
  <si>
    <t>Окраска</t>
  </si>
  <si>
    <t>3.2.5.2.1</t>
  </si>
  <si>
    <t>Окраска скамьи без спинки с металлическими опорами</t>
  </si>
  <si>
    <t>скамья</t>
  </si>
  <si>
    <t>3.2.5.2.4</t>
  </si>
  <si>
    <t>Окраска качелей-маятника</t>
  </si>
  <si>
    <t>качели</t>
  </si>
  <si>
    <t>3.2.5.2.5</t>
  </si>
  <si>
    <t>Окраска качелей-балансира</t>
  </si>
  <si>
    <t>3.2.5.2.6</t>
  </si>
  <si>
    <t>Окраска поверхности песочницы</t>
  </si>
  <si>
    <t>песочница</t>
  </si>
  <si>
    <t>3.2.5.2.12</t>
  </si>
  <si>
    <t>Окраска металлических ограждений спортивных площадок</t>
  </si>
  <si>
    <t xml:space="preserve">пог.м. </t>
  </si>
  <si>
    <t>3.2.5.3</t>
  </si>
  <si>
    <t>Ремонт</t>
  </si>
  <si>
    <t>3.2.5.3.3</t>
  </si>
  <si>
    <t>Ремонт качелей-маятника</t>
  </si>
  <si>
    <t>3.2.5.3.4</t>
  </si>
  <si>
    <t>Ремонт качелей-балансира</t>
  </si>
  <si>
    <t>3.2.5.3.5</t>
  </si>
  <si>
    <t>Ремонт песочницы</t>
  </si>
  <si>
    <t>3.2.5.4</t>
  </si>
  <si>
    <t>Заполнение песочницы песком</t>
  </si>
  <si>
    <t>3.2.5.5</t>
  </si>
  <si>
    <t>Осмотр детских и спортивных площадок</t>
  </si>
  <si>
    <t>1 модуль</t>
  </si>
  <si>
    <t>3.2.6</t>
  </si>
  <si>
    <t>Сдвижка и  подметание  снега при отсутствии снегопадов</t>
  </si>
  <si>
    <t>3.2.6.2</t>
  </si>
  <si>
    <t>Сдвижка и подметание снега при отсутствии снегопада на придомовой территории с усовершенствованным покрытием 2 класса</t>
  </si>
  <si>
    <t>10 000 кв.м. территории</t>
  </si>
  <si>
    <t>3.2.6.5</t>
  </si>
  <si>
    <t>Сдвижка и подметание снега при отсутствии снегопада на придомовой территории с неусовершенствованным покрытием 2 класса</t>
  </si>
  <si>
    <t>3.2.7</t>
  </si>
  <si>
    <t>Сдвижка и  подметание снега  при снегопаде</t>
  </si>
  <si>
    <t>3.2.7.2</t>
  </si>
  <si>
    <t>Сдвижка и подметание снега при снегопаде на придомовой территории с усовершенствованным покрытием 2 класса</t>
  </si>
  <si>
    <t>3.2.8</t>
  </si>
  <si>
    <t>Ликвидация наледи</t>
  </si>
  <si>
    <t>3.2.8.2</t>
  </si>
  <si>
    <t>Очистка территории с усовершенствованным покрытием 2 класса от наледи без обработки противогололедными реагентами</t>
  </si>
  <si>
    <t>3.2.8.9</t>
  </si>
  <si>
    <t>Посыпка территории II класса</t>
  </si>
  <si>
    <t>3.2.8.13</t>
  </si>
  <si>
    <t>Очистка от наледи и льда водосточных труб</t>
  </si>
  <si>
    <t>1 шт</t>
  </si>
  <si>
    <t>3.2.9</t>
  </si>
  <si>
    <t>Очистка кровли</t>
  </si>
  <si>
    <t>3.2.9.2</t>
  </si>
  <si>
    <t>Очистка кровли от снега, сбивание сосулек (при толщине слоя до 20 см)</t>
  </si>
  <si>
    <t>100 кв.м. кровли</t>
  </si>
  <si>
    <t>3.2.9.4</t>
  </si>
  <si>
    <t>Очистка кровли от мусора, листьев</t>
  </si>
  <si>
    <t>100 кв.м кровли</t>
  </si>
  <si>
    <t>3.2.10</t>
  </si>
  <si>
    <t>Механизированная уборка территории</t>
  </si>
  <si>
    <t>3.2.10.4</t>
  </si>
  <si>
    <t>Сдвигание свежевыпавшего снега толщиной слоя свыше 2 см в валы или кучи трактором</t>
  </si>
  <si>
    <t>1000 м2</t>
  </si>
  <si>
    <t>3.2.11</t>
  </si>
  <si>
    <t>Уборка крыльца и площадки перед входом в подъезд (в холодный период года)</t>
  </si>
  <si>
    <t>100 кв.м</t>
  </si>
  <si>
    <t>3.2.12</t>
  </si>
  <si>
    <t>Уборка крыльца и площадки перед входом в подъезд (в теплый период года)</t>
  </si>
  <si>
    <t>3.2.14</t>
  </si>
  <si>
    <t>Очистка контейнерной площадки в холодный период</t>
  </si>
  <si>
    <t>3.2.15</t>
  </si>
  <si>
    <t>Уборка мусора на  контейнерных  площадках</t>
  </si>
  <si>
    <t>3.2.17</t>
  </si>
  <si>
    <t>Прочистка водоприемной воронки внутреннего водостока</t>
  </si>
  <si>
    <t>1 воронка</t>
  </si>
  <si>
    <t>3.3</t>
  </si>
  <si>
    <t>Ремонт и установка объектов благоустройства придомовой территории</t>
  </si>
  <si>
    <t>3.3.1</t>
  </si>
  <si>
    <t>Ремонт  объектов  внешнего  благоустройства</t>
  </si>
  <si>
    <t>3.3.1.1</t>
  </si>
  <si>
    <t>Текущий ремонт ограждений газона</t>
  </si>
  <si>
    <t>пог.м.</t>
  </si>
  <si>
    <t>3.3.1.2</t>
  </si>
  <si>
    <t>Покраска ограждений газона</t>
  </si>
  <si>
    <t>3.3.1.5</t>
  </si>
  <si>
    <t>Ремонт асфальтобетонного покрытия проездов</t>
  </si>
  <si>
    <t>100 м2</t>
  </si>
  <si>
    <t>3.3.1.6</t>
  </si>
  <si>
    <t>Ремонт тротуаров</t>
  </si>
  <si>
    <t>10 м2</t>
  </si>
  <si>
    <t>3.3.2</t>
  </si>
  <si>
    <t>Строительство  объектов внешнего  благоустройства</t>
  </si>
  <si>
    <t>3.3.2.3</t>
  </si>
  <si>
    <t>Установка скамьи с металлическими опорами</t>
  </si>
  <si>
    <t>3.3.2.12</t>
  </si>
  <si>
    <t>Установка металлических ограждений спортивных площадок</t>
  </si>
  <si>
    <t>3.4</t>
  </si>
  <si>
    <t>Прочие работы</t>
  </si>
  <si>
    <t>3.4.1</t>
  </si>
  <si>
    <t>Дератизация чердаков и подвалов</t>
  </si>
  <si>
    <t>3.4.1.3</t>
  </si>
  <si>
    <t>Дератизация чердаков и подвалов с применением готовой приманки типа "Шторм" -  антикоагулянта II поколения</t>
  </si>
  <si>
    <t>1000 м2  обрабатываемых  помещений</t>
  </si>
  <si>
    <t>3.4.2</t>
  </si>
  <si>
    <t>Дезинсекция  подвалов</t>
  </si>
  <si>
    <t>3.4.5</t>
  </si>
  <si>
    <t>Не прошедшие проверку или альтернативные виды работ</t>
  </si>
  <si>
    <t>3.4.5.15</t>
  </si>
  <si>
    <t>Раздел удален. Устранение аварии на внутридомовых инженерных сетях и выполнение заявок населения (в домах, оборудованных газовыми плитами)</t>
  </si>
  <si>
    <t>3.4.5.15.2</t>
  </si>
  <si>
    <t>Устранение аварии на внутридомовых инженерных сетях при сроке эксплуатации многоквартирного дома от 11 до 30  лет</t>
  </si>
  <si>
    <t>1000 м2  общей площади жилых помещений, оборудованных газовыми плитами (в год для одной смены)</t>
  </si>
  <si>
    <t>3.4.5.15.3</t>
  </si>
  <si>
    <t>Устранение аварии на внутридомовых инженерных сетях при сроке эксплуатации многоквартирного дома от 31 до 50 лет</t>
  </si>
  <si>
    <t>3.4.5.15.4</t>
  </si>
  <si>
    <t>Устранение аварии на внутридомовых инженерных сетях при сроке эксплуатации многоквартирного дома от 51 до 70 лет</t>
  </si>
  <si>
    <t>3.5</t>
  </si>
  <si>
    <t>Услуги вывоза бытовых отходов</t>
  </si>
  <si>
    <t>3.5.2</t>
  </si>
  <si>
    <t>Вывоз крупногабаритного мусора</t>
  </si>
  <si>
    <t>3.5.2.1</t>
  </si>
  <si>
    <t>Вывоз КГМ бункеровозом (объем кузова - 7,8 куб.м)</t>
  </si>
  <si>
    <t>3.5.2.1.1</t>
  </si>
  <si>
    <t>Погрузка-разгрузка бункеровоза</t>
  </si>
  <si>
    <t>100 куб. м</t>
  </si>
  <si>
    <t>3.5.2.1.2</t>
  </si>
  <si>
    <t>Транспортировка КГМ на бункеровозе</t>
  </si>
  <si>
    <t>100 куб.м/км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</si>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</sst>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.00"/>
  </numFmts>
  <fonts count="11" x14ac:knownFonts="1">
    <font>
      <sz val="11"/>
      <color theme="1"/>
      <name val="Calibri"/>
      <family val="2"/>
      <scheme val="minor"/>
    </font>
    <font>
      <sz val="9"/>
      <name val="Calibri"/>
    </font>
    <font>
      <sz val="10"/>
      <name val="Calibri"/>
    </font>
    <font>
      <sz val="12"/>
      <name val="Calibri"/>
    </font>
    <font>
      <b/>
      <sz val="9"/>
      <color rgb="FFFFFFFF"/>
      <name val="Calibri"/>
    </font>
    <font>
      <b/>
      <sz val="18"/>
      <color rgb="FF000099"/>
      <name val="Calibri"/>
    </font>
    <font>
      <i/>
      <sz val="11"/>
      <name val="Calibri"/>
    </font>
    <font>
      <b/>
      <sz val="11"/>
      <name val="Calibri"/>
    </font>
    <font>
      <b/>
      <sz val="10"/>
      <color rgb="FF707070"/>
      <name val="Calibri"/>
    </font>
    <font>
      <b/>
      <sz val="11"/>
      <color rgb="FFFFFFFF"/>
      <name val="Calibri"/>
    </font>
    <font>
      <b/>
      <sz val="10"/>
      <color rgb="FFFFFF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546E7A"/>
      </patternFill>
    </fill>
    <fill>
      <patternFill patternType="solid">
        <fgColor rgb="FFDCE6F1"/>
      </patternFill>
    </fill>
    <fill>
      <patternFill patternType="solid">
        <fgColor rgb="FFF2F2F2"/>
      </patternFill>
    </fill>
    <fill>
      <patternFill patternType="solid">
        <fgColor rgb="FFF9F7ED"/>
      </patternFill>
    </fill>
    <fill>
      <patternFill patternType="solid">
        <fgColor rgb="FFF5F2E0"/>
      </patternFill>
    </fill>
    <fill>
      <patternFill patternType="solid">
        <fgColor rgb="FFEBF1DE"/>
      </patternFill>
    </fill>
  </fills>
  <borders count="12">
    <border>
      <left/>
      <right/>
      <top/>
      <bottom/>
      <diagonal/>
    </border>
    <border>
      <left style="thick">
        <color rgb="FF000000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top" wrapText="1" indent="1"/>
    </xf>
    <xf numFmtId="49" fontId="2" fillId="0" borderId="0" xfId="0" applyNumberFormat="1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indent="1"/>
    </xf>
    <xf numFmtId="164" fontId="2" fillId="0" borderId="0" xfId="0" applyNumberFormat="1" applyFont="1" applyAlignment="1">
      <alignment horizontal="right" vertical="top" indent="1"/>
    </xf>
    <xf numFmtId="2" fontId="2" fillId="0" borderId="0" xfId="0" applyNumberFormat="1" applyFont="1" applyAlignment="1">
      <alignment horizontal="right" vertical="top" indent="1"/>
    </xf>
    <xf numFmtId="0" fontId="4" fillId="0" borderId="0" xfId="0" applyFont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49" fontId="4" fillId="2" borderId="2" xfId="0" applyNumberFormat="1" applyFont="1" applyFill="1" applyBorder="1" applyAlignment="1">
      <alignment horizontal="center" vertical="center" wrapText="1" indent="1"/>
    </xf>
    <xf numFmtId="0" fontId="4" fillId="2" borderId="2" xfId="0" applyFont="1" applyFill="1" applyBorder="1" applyAlignment="1">
      <alignment horizontal="center" vertical="center" wrapText="1" indent="1"/>
    </xf>
    <xf numFmtId="164" fontId="4" fillId="2" borderId="2" xfId="0" applyNumberFormat="1" applyFont="1" applyFill="1" applyBorder="1" applyAlignment="1">
      <alignment horizontal="center" vertical="center" wrapText="1" indent="1"/>
    </xf>
    <xf numFmtId="2" fontId="4" fillId="2" borderId="3" xfId="0" applyNumberFormat="1" applyFont="1" applyFill="1" applyBorder="1" applyAlignment="1">
      <alignment horizontal="center" vertical="center" wrapText="1" indent="1"/>
    </xf>
    <xf numFmtId="0" fontId="6" fillId="0" borderId="6" xfId="0" applyFont="1" applyBorder="1" applyAlignment="1">
      <alignment horizontal="left" indent="1"/>
    </xf>
    <xf numFmtId="2" fontId="6" fillId="0" borderId="8" xfId="0" applyNumberFormat="1" applyFont="1" applyBorder="1" applyAlignment="1">
      <alignment horizontal="left" indent="1"/>
    </xf>
    <xf numFmtId="0" fontId="7" fillId="0" borderId="0" xfId="0" applyFont="1"/>
    <xf numFmtId="0" fontId="7" fillId="3" borderId="9" xfId="0" applyFont="1" applyFill="1" applyBorder="1" applyAlignment="1">
      <alignment horizontal="center" vertical="top" wrapText="1" indent="1"/>
    </xf>
    <xf numFmtId="49" fontId="7" fillId="3" borderId="10" xfId="0" applyNumberFormat="1" applyFont="1" applyFill="1" applyBorder="1" applyAlignment="1">
      <alignment horizontal="left" vertical="top" wrapText="1" indent="1"/>
    </xf>
    <xf numFmtId="0" fontId="8" fillId="0" borderId="0" xfId="0" applyFont="1"/>
    <xf numFmtId="0" fontId="8" fillId="4" borderId="9" xfId="0" applyFont="1" applyFill="1" applyBorder="1" applyAlignment="1">
      <alignment horizontal="center" vertical="top" wrapText="1" indent="1"/>
    </xf>
    <xf numFmtId="49" fontId="8" fillId="4" borderId="10" xfId="0" applyNumberFormat="1" applyFont="1" applyFill="1" applyBorder="1" applyAlignment="1">
      <alignment horizontal="left" vertical="top" wrapText="1" indent="1"/>
    </xf>
    <xf numFmtId="0" fontId="1" fillId="0" borderId="9" xfId="0" applyFont="1" applyBorder="1" applyAlignment="1">
      <alignment horizontal="center" vertical="top" wrapText="1" indent="1"/>
    </xf>
    <xf numFmtId="49" fontId="2" fillId="0" borderId="10" xfId="0" applyNumberFormat="1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right" vertical="top" indent="1"/>
    </xf>
    <xf numFmtId="0" fontId="3" fillId="6" borderId="10" xfId="0" applyFont="1" applyFill="1" applyBorder="1" applyAlignment="1">
      <alignment horizontal="right" vertical="top" indent="1"/>
    </xf>
    <xf numFmtId="164" fontId="2" fillId="0" borderId="10" xfId="0" applyNumberFormat="1" applyFont="1" applyBorder="1" applyAlignment="1">
      <alignment horizontal="right" vertical="top" indent="1"/>
    </xf>
    <xf numFmtId="164" fontId="2" fillId="7" borderId="10" xfId="0" applyNumberFormat="1" applyFont="1" applyFill="1" applyBorder="1" applyAlignment="1">
      <alignment horizontal="right" vertical="top" indent="1"/>
    </xf>
    <xf numFmtId="2" fontId="2" fillId="0" borderId="11" xfId="0" applyNumberFormat="1" applyFont="1" applyBorder="1" applyAlignment="1">
      <alignment horizontal="right" vertical="top" indent="1"/>
    </xf>
    <xf numFmtId="0" fontId="9" fillId="0" borderId="0" xfId="0" applyFont="1" applyAlignment="1">
      <alignment horizontal="right" vertical="center" wrapText="1" indent="1"/>
    </xf>
    <xf numFmtId="164" fontId="9" fillId="2" borderId="2" xfId="0" applyNumberFormat="1" applyFont="1" applyFill="1" applyBorder="1" applyAlignment="1">
      <alignment horizontal="right" vertical="center" wrapText="1" indent="1"/>
    </xf>
    <xf numFmtId="2" fontId="9" fillId="2" borderId="3" xfId="0" applyNumberFormat="1" applyFont="1" applyFill="1" applyBorder="1" applyAlignment="1">
      <alignment horizontal="right" vertical="center" wrapText="1" indent="1"/>
    </xf>
    <xf numFmtId="0" fontId="8" fillId="4" borderId="11" xfId="0" applyFont="1" applyFill="1" applyBorder="1" applyAlignment="1">
      <alignment indent="2"/>
    </xf>
    <xf numFmtId="0" fontId="10" fillId="2" borderId="1" xfId="0" applyFont="1" applyFill="1" applyBorder="1" applyAlignment="1">
      <alignment horizontal="right" vertical="center" wrapText="1" indent="1"/>
    </xf>
    <xf numFmtId="0" fontId="7" fillId="3" borderId="11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indent="1"/>
    </xf>
    <xf numFmtId="0" fontId="8" fillId="4" borderId="11" xfId="0" applyFont="1" applyFill="1" applyBorder="1" applyAlignment="1">
      <alignment indent="3"/>
    </xf>
    <xf numFmtId="0" fontId="5" fillId="0" borderId="4" xfId="0" applyFont="1" applyBorder="1" applyAlignment="1">
      <alignment horizontal="left" vertical="center" indent="1"/>
    </xf>
    <xf numFmtId="164" fontId="6" fillId="0" borderId="5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right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2"/>
  <sheetViews>
    <sheetView tabSelected="1" workbookViewId="0">
      <pane ySplit="1" topLeftCell="A2" activePane="bottomLeft" state="frozen"/>
      <selection pane="bottomLeft" activeCell="B2" sqref="B2:L3"/>
    </sheetView>
  </sheetViews>
  <sheetFormatPr defaultRowHeight="15.6" x14ac:dyDescent="0.3"/>
  <cols>
    <col min="1" max="1" width="3" customWidth="1"/>
    <col min="2" max="2" width="6" style="1" customWidth="1"/>
    <col min="3" max="3" width="13" style="2" customWidth="1"/>
    <col min="4" max="4" width="50" style="3" customWidth="1"/>
    <col min="5" max="5" width="20" style="3" customWidth="1"/>
    <col min="6" max="7" width="12" style="4" customWidth="1"/>
    <col min="8" max="9" width="14" style="5" customWidth="1"/>
    <col min="10" max="10" width="13" style="5" customWidth="1"/>
    <col min="11" max="13" width="14" style="5" customWidth="1"/>
    <col min="14" max="14" width="16" style="5" customWidth="1"/>
    <col min="15" max="15" width="12" style="6" customWidth="1"/>
  </cols>
  <sheetData>
    <row r="1" spans="1:15" s="7" customFormat="1" ht="40.049999999999997" customHeight="1" x14ac:dyDescent="0.3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2" t="s">
        <v>14</v>
      </c>
    </row>
    <row r="2" spans="1:15" ht="14.4" x14ac:dyDescent="0.3">
      <c r="A2" t="s">
        <v>0</v>
      </c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8" t="s">
        <v>16</v>
      </c>
      <c r="N2" s="38"/>
      <c r="O2" s="13" t="s">
        <v>17</v>
      </c>
    </row>
    <row r="3" spans="1:15" ht="14.4" x14ac:dyDescent="0.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9" t="s">
        <v>18</v>
      </c>
      <c r="N3" s="39"/>
      <c r="O3" s="14">
        <v>326771.09999999998</v>
      </c>
    </row>
    <row r="4" spans="1:15" s="15" customFormat="1" ht="14.4" x14ac:dyDescent="0.3">
      <c r="B4" s="16"/>
      <c r="C4" s="17" t="s">
        <v>19</v>
      </c>
      <c r="D4" s="34" t="s">
        <v>20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18" customFormat="1" ht="13.8" x14ac:dyDescent="0.3">
      <c r="B5" s="19"/>
      <c r="C5" s="20" t="s">
        <v>21</v>
      </c>
      <c r="D5" s="35" t="s">
        <v>22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x14ac:dyDescent="0.3">
      <c r="B6" s="21">
        <v>1</v>
      </c>
      <c r="C6" s="22" t="s">
        <v>23</v>
      </c>
      <c r="D6" s="23" t="s">
        <v>24</v>
      </c>
      <c r="E6" s="23" t="s">
        <v>25</v>
      </c>
      <c r="F6" s="24">
        <v>4</v>
      </c>
      <c r="G6" s="25">
        <v>2</v>
      </c>
      <c r="H6" s="26">
        <f>F6 * G6 * 1502.62518</f>
        <v>12021.00144</v>
      </c>
      <c r="I6" s="26">
        <f>F6 * G6 * 0</f>
        <v>0</v>
      </c>
      <c r="J6" s="26">
        <f>F6 * G6 * 19.10304</f>
        <v>152.82432</v>
      </c>
      <c r="K6" s="26">
        <f>F6 * G6 * 1430.799696</f>
        <v>11446.397568</v>
      </c>
      <c r="L6" s="26">
        <f>F6 * G6 * 343.197087</f>
        <v>2745.5766960000001</v>
      </c>
      <c r="M6" s="26">
        <f>F6 * G6 * 300.525036</f>
        <v>2404.200288</v>
      </c>
      <c r="N6" s="27">
        <f>SUM(H6:M6)</f>
        <v>28770.000312</v>
      </c>
      <c r="O6" s="28">
        <f>IF(O3&gt;0,N6/O3/12,0)</f>
        <v>7.3369402190095771E-3</v>
      </c>
    </row>
    <row r="7" spans="1:15" s="18" customFormat="1" ht="13.8" x14ac:dyDescent="0.3">
      <c r="B7" s="19"/>
      <c r="C7" s="20" t="s">
        <v>26</v>
      </c>
      <c r="D7" s="35" t="s">
        <v>27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41.4" x14ac:dyDescent="0.3">
      <c r="B8" s="21">
        <v>2</v>
      </c>
      <c r="C8" s="22" t="s">
        <v>28</v>
      </c>
      <c r="D8" s="23" t="s">
        <v>29</v>
      </c>
      <c r="E8" s="23" t="s">
        <v>30</v>
      </c>
      <c r="F8" s="24">
        <v>5</v>
      </c>
      <c r="G8" s="25">
        <v>1</v>
      </c>
      <c r="H8" s="26">
        <f>F8 * G8 * 4692.85968</f>
        <v>23464.2984</v>
      </c>
      <c r="I8" s="26">
        <f>F8 * G8 * 7773.034049</f>
        <v>38865.170245000001</v>
      </c>
      <c r="J8" s="26">
        <f t="shared" ref="J8:J16" si="0">F8 * G8 * 0</f>
        <v>0</v>
      </c>
      <c r="K8" s="26">
        <f>F8 * G8 * 4468.540987</f>
        <v>22342.704935000002</v>
      </c>
      <c r="L8" s="26">
        <f>F8 * G8 * 1885.602202</f>
        <v>9428.0110100000002</v>
      </c>
      <c r="M8" s="26">
        <f>F8 * G8 * 938.571936</f>
        <v>4692.8596800000005</v>
      </c>
      <c r="N8" s="27">
        <f t="shared" ref="N8:N16" si="1">SUM(H8:M8)</f>
        <v>98793.044269999999</v>
      </c>
      <c r="O8" s="28">
        <f>IF(O3&gt;0,N8/O3/12,0)</f>
        <v>2.5194252763376768E-2</v>
      </c>
    </row>
    <row r="9" spans="1:15" x14ac:dyDescent="0.3">
      <c r="B9" s="21">
        <v>3</v>
      </c>
      <c r="C9" s="22" t="s">
        <v>31</v>
      </c>
      <c r="D9" s="23" t="s">
        <v>32</v>
      </c>
      <c r="E9" s="23" t="s">
        <v>33</v>
      </c>
      <c r="F9" s="24">
        <v>0.3</v>
      </c>
      <c r="G9" s="25">
        <v>1</v>
      </c>
      <c r="H9" s="26">
        <f>F9 * G9 * 1665.965186</f>
        <v>499.78955579999996</v>
      </c>
      <c r="I9" s="26">
        <f>F9 * G9 * 3384</f>
        <v>1015.1999999999999</v>
      </c>
      <c r="J9" s="26">
        <f t="shared" si="0"/>
        <v>0</v>
      </c>
      <c r="K9" s="26">
        <f>F9 * G9 * 1586.33205</f>
        <v>475.89961499999998</v>
      </c>
      <c r="L9" s="26">
        <f>F9 * G9 * 735.281223</f>
        <v>220.58436689999999</v>
      </c>
      <c r="M9" s="26">
        <f>F9 * G9 * 333.193037</f>
        <v>99.957911100000004</v>
      </c>
      <c r="N9" s="27">
        <f t="shared" si="1"/>
        <v>2311.4314487999995</v>
      </c>
      <c r="O9" s="28">
        <f>IF(O3&gt;0,N9/O3/12,0)</f>
        <v>5.8946243226527676E-4</v>
      </c>
    </row>
    <row r="10" spans="1:15" x14ac:dyDescent="0.3">
      <c r="B10" s="21">
        <v>4</v>
      </c>
      <c r="C10" s="22" t="s">
        <v>34</v>
      </c>
      <c r="D10" s="23" t="s">
        <v>35</v>
      </c>
      <c r="E10" s="23" t="s">
        <v>33</v>
      </c>
      <c r="F10" s="24">
        <v>0.2</v>
      </c>
      <c r="G10" s="25">
        <v>1</v>
      </c>
      <c r="H10" s="26">
        <f>F10 * G10 * 6019.651005</f>
        <v>1203.9302009999999</v>
      </c>
      <c r="I10" s="26">
        <f>F10 * G10 * 7527.332</f>
        <v>1505.4664000000002</v>
      </c>
      <c r="J10" s="26">
        <f t="shared" si="0"/>
        <v>0</v>
      </c>
      <c r="K10" s="26">
        <f>F10 * G10 * 5731.911687</f>
        <v>1146.3823374000001</v>
      </c>
      <c r="L10" s="26">
        <f>F10 * G10 * 2160.938026</f>
        <v>432.18760520000001</v>
      </c>
      <c r="M10" s="26">
        <f>F10 * G10 * 1203.930201</f>
        <v>240.7860402</v>
      </c>
      <c r="N10" s="27">
        <f t="shared" si="1"/>
        <v>4528.7525838000001</v>
      </c>
      <c r="O10" s="28">
        <f>IF(O3&gt;0,N10/O3/12,0)</f>
        <v>1.1549248040906923E-3</v>
      </c>
    </row>
    <row r="11" spans="1:15" x14ac:dyDescent="0.3">
      <c r="B11" s="21">
        <v>5</v>
      </c>
      <c r="C11" s="22" t="s">
        <v>36</v>
      </c>
      <c r="D11" s="23" t="s">
        <v>37</v>
      </c>
      <c r="E11" s="23" t="s">
        <v>33</v>
      </c>
      <c r="F11" s="24">
        <v>0.37</v>
      </c>
      <c r="G11" s="25">
        <v>1</v>
      </c>
      <c r="H11" s="26">
        <f>F11 * G11 * 8500.565304</f>
        <v>3145.20916248</v>
      </c>
      <c r="I11" s="26">
        <f>F11 * G11 * 2800.26</f>
        <v>1036.0962000000002</v>
      </c>
      <c r="J11" s="26">
        <f t="shared" si="0"/>
        <v>0</v>
      </c>
      <c r="K11" s="26">
        <f>F11 * G11 * 8094.238283</f>
        <v>2994.8681647099997</v>
      </c>
      <c r="L11" s="26">
        <f>F11 * G11 * 2225.541136</f>
        <v>823.45022031999997</v>
      </c>
      <c r="M11" s="26">
        <f>F11 * G11 * 1700.113061</f>
        <v>629.04183257</v>
      </c>
      <c r="N11" s="27">
        <f t="shared" si="1"/>
        <v>8628.6655800799999</v>
      </c>
      <c r="O11" s="28">
        <f>IF(O3&gt;0,N11/O3/12,0)</f>
        <v>2.2004867168689845E-3</v>
      </c>
    </row>
    <row r="12" spans="1:15" ht="27.6" x14ac:dyDescent="0.3">
      <c r="B12" s="21">
        <v>6</v>
      </c>
      <c r="C12" s="22" t="s">
        <v>38</v>
      </c>
      <c r="D12" s="23" t="s">
        <v>39</v>
      </c>
      <c r="E12" s="23" t="s">
        <v>40</v>
      </c>
      <c r="F12" s="24">
        <v>0.32</v>
      </c>
      <c r="G12" s="25">
        <v>1</v>
      </c>
      <c r="H12" s="26">
        <f>F12 * G12 * 10838.159431</f>
        <v>3468.2110179199999</v>
      </c>
      <c r="I12" s="26">
        <f>F12 * G12 * 92969.74825</f>
        <v>29750.319440000003</v>
      </c>
      <c r="J12" s="26">
        <f t="shared" si="0"/>
        <v>0</v>
      </c>
      <c r="K12" s="26">
        <f>F12 * G12 * 10320.09541</f>
        <v>3302.4305312000001</v>
      </c>
      <c r="L12" s="26">
        <f>F12 * G12 * 12269.18949</f>
        <v>3926.1406368000003</v>
      </c>
      <c r="M12" s="26">
        <f>F12 * G12 * 2167.631886</f>
        <v>693.64220352000007</v>
      </c>
      <c r="N12" s="27">
        <f t="shared" si="1"/>
        <v>41140.743829440005</v>
      </c>
      <c r="O12" s="28">
        <f>IF(O3&gt;0,N12/O3/12,0)</f>
        <v>1.049173356860506E-2</v>
      </c>
    </row>
    <row r="13" spans="1:15" x14ac:dyDescent="0.3">
      <c r="B13" s="21">
        <v>7</v>
      </c>
      <c r="C13" s="22" t="s">
        <v>41</v>
      </c>
      <c r="D13" s="23" t="s">
        <v>42</v>
      </c>
      <c r="E13" s="23" t="s">
        <v>43</v>
      </c>
      <c r="F13" s="24">
        <v>120</v>
      </c>
      <c r="G13" s="25">
        <v>1</v>
      </c>
      <c r="H13" s="26">
        <f>F13 * G13 * 791.296862</f>
        <v>94955.62344000001</v>
      </c>
      <c r="I13" s="26">
        <f>F13 * G13 * 1168.867703</f>
        <v>140264.12435999999</v>
      </c>
      <c r="J13" s="26">
        <f t="shared" si="0"/>
        <v>0</v>
      </c>
      <c r="K13" s="26">
        <f>F13 * G13 * 753.472871999999</f>
        <v>90416.744639999888</v>
      </c>
      <c r="L13" s="26">
        <f>F13 * G13 * 302.985113</f>
        <v>36358.213560000004</v>
      </c>
      <c r="M13" s="26">
        <f>F13 * G13 * 158.259372</f>
        <v>18991.124640000002</v>
      </c>
      <c r="N13" s="27">
        <f t="shared" si="1"/>
        <v>380985.83063999988</v>
      </c>
      <c r="O13" s="28">
        <f>IF(O3&gt;0,N13/O3/12,0)</f>
        <v>9.7159201716430832E-2</v>
      </c>
    </row>
    <row r="14" spans="1:15" x14ac:dyDescent="0.3">
      <c r="B14" s="21">
        <v>8</v>
      </c>
      <c r="C14" s="22" t="s">
        <v>44</v>
      </c>
      <c r="D14" s="23" t="s">
        <v>45</v>
      </c>
      <c r="E14" s="23" t="s">
        <v>46</v>
      </c>
      <c r="F14" s="24">
        <v>1.7</v>
      </c>
      <c r="G14" s="25">
        <v>1</v>
      </c>
      <c r="H14" s="26">
        <f>F14 * G14 * 8700.180008</f>
        <v>14790.306013599999</v>
      </c>
      <c r="I14" s="26">
        <f>F14 * G14 * 53640.440947</f>
        <v>91188.749609899998</v>
      </c>
      <c r="J14" s="26">
        <f t="shared" si="0"/>
        <v>0</v>
      </c>
      <c r="K14" s="26">
        <f>F14 * G14 * 8284.311403</f>
        <v>14083.3293851</v>
      </c>
      <c r="L14" s="26">
        <f>F14 * G14 * 7634.504162</f>
        <v>12978.6570754</v>
      </c>
      <c r="M14" s="26">
        <f>F14 * G14 * 1740.036002</f>
        <v>2958.0612034000001</v>
      </c>
      <c r="N14" s="27">
        <f t="shared" si="1"/>
        <v>135999.10328740001</v>
      </c>
      <c r="O14" s="28">
        <f>IF(O3&gt;0,N14/O3/12,0)</f>
        <v>3.4682560995398105E-2</v>
      </c>
    </row>
    <row r="15" spans="1:15" ht="41.4" x14ac:dyDescent="0.3">
      <c r="B15" s="21">
        <v>9</v>
      </c>
      <c r="C15" s="22" t="s">
        <v>47</v>
      </c>
      <c r="D15" s="23" t="s">
        <v>48</v>
      </c>
      <c r="E15" s="23" t="s">
        <v>33</v>
      </c>
      <c r="F15" s="24">
        <v>0.5</v>
      </c>
      <c r="G15" s="25">
        <v>1</v>
      </c>
      <c r="H15" s="26">
        <f>F15 * G15 * 15122.740319</f>
        <v>7561.3701595000002</v>
      </c>
      <c r="I15" s="26">
        <f>F15 * G15 * 16971.42176</f>
        <v>8485.7108800000005</v>
      </c>
      <c r="J15" s="26">
        <f t="shared" si="0"/>
        <v>0</v>
      </c>
      <c r="K15" s="26">
        <f>F15 * G15 * 14399.8733309999</f>
        <v>7199.9366654999503</v>
      </c>
      <c r="L15" s="26">
        <f>F15 * G15 * 5224.210556</f>
        <v>2612.105278</v>
      </c>
      <c r="M15" s="26">
        <f>F15 * G15 * 3024.548064</f>
        <v>1512.274032</v>
      </c>
      <c r="N15" s="27">
        <f t="shared" si="1"/>
        <v>27371.397014999951</v>
      </c>
      <c r="O15" s="28">
        <f>IF(O3&gt;0,N15/O3/12,0)</f>
        <v>6.9802676896763395E-3</v>
      </c>
    </row>
    <row r="16" spans="1:15" x14ac:dyDescent="0.3">
      <c r="B16" s="21">
        <v>10</v>
      </c>
      <c r="C16" s="22" t="s">
        <v>49</v>
      </c>
      <c r="D16" s="23" t="s">
        <v>50</v>
      </c>
      <c r="E16" s="23" t="s">
        <v>51</v>
      </c>
      <c r="F16" s="24">
        <v>500</v>
      </c>
      <c r="G16" s="25">
        <v>1</v>
      </c>
      <c r="H16" s="26">
        <f>F16 * G16 * 103.242913</f>
        <v>51621.4565</v>
      </c>
      <c r="I16" s="26">
        <f>F16 * G16 * 134.363045</f>
        <v>67181.522500000006</v>
      </c>
      <c r="J16" s="26">
        <f t="shared" si="0"/>
        <v>0</v>
      </c>
      <c r="K16" s="26">
        <f>F16 * G16 * 98.307901</f>
        <v>49153.950499999999</v>
      </c>
      <c r="L16" s="26">
        <f>F16 * G16 * 37.617337</f>
        <v>18808.6685</v>
      </c>
      <c r="M16" s="26">
        <f>F16 * G16 * 20.648583</f>
        <v>10324.291499999999</v>
      </c>
      <c r="N16" s="27">
        <f t="shared" si="1"/>
        <v>197089.88949999999</v>
      </c>
      <c r="O16" s="28">
        <f>IF(O3&gt;0,N16/O3/12,0)</f>
        <v>5.0261964593360103E-2</v>
      </c>
    </row>
    <row r="17" spans="2:15" s="15" customFormat="1" ht="14.4" x14ac:dyDescent="0.3">
      <c r="B17" s="16"/>
      <c r="C17" s="17" t="s">
        <v>52</v>
      </c>
      <c r="D17" s="34" t="s">
        <v>53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2:15" s="18" customFormat="1" ht="13.8" x14ac:dyDescent="0.3">
      <c r="B18" s="19"/>
      <c r="C18" s="20" t="s">
        <v>54</v>
      </c>
      <c r="D18" s="35" t="s">
        <v>55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2:15" ht="41.4" x14ac:dyDescent="0.3">
      <c r="B19" s="21">
        <v>11</v>
      </c>
      <c r="C19" s="22" t="s">
        <v>56</v>
      </c>
      <c r="D19" s="23" t="s">
        <v>57</v>
      </c>
      <c r="E19" s="23" t="s">
        <v>58</v>
      </c>
      <c r="F19" s="24">
        <v>3</v>
      </c>
      <c r="G19" s="25">
        <v>1</v>
      </c>
      <c r="H19" s="26">
        <f>F19 * G19 * 18833.26497</f>
        <v>56499.794909999997</v>
      </c>
      <c r="I19" s="26">
        <f>F19 * G19 * 8494.919262</f>
        <v>25484.757785999998</v>
      </c>
      <c r="J19" s="26">
        <f>F19 * G19 * 2114.677935</f>
        <v>6344.0338050000009</v>
      </c>
      <c r="K19" s="26">
        <f>F19 * G19 * 20679.3690589999</f>
        <v>62038.107176999692</v>
      </c>
      <c r="L19" s="26">
        <f>F19 * G19 * 5746.133881</f>
        <v>17238.401642999997</v>
      </c>
      <c r="M19" s="26">
        <f>F19 * G19 * 4343.492766</f>
        <v>13030.478298000002</v>
      </c>
      <c r="N19" s="27">
        <f>SUM(H19:M19)</f>
        <v>180635.57361899968</v>
      </c>
      <c r="O19" s="28">
        <f>IF(O3&gt;0,N19/O3/12,0)</f>
        <v>4.6065776527514139E-2</v>
      </c>
    </row>
    <row r="20" spans="2:15" s="18" customFormat="1" ht="13.8" x14ac:dyDescent="0.3">
      <c r="B20" s="19"/>
      <c r="C20" s="20" t="s">
        <v>59</v>
      </c>
      <c r="D20" s="35" t="s">
        <v>60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2:15" s="18" customFormat="1" ht="13.8" x14ac:dyDescent="0.3">
      <c r="B21" s="19"/>
      <c r="C21" s="20" t="s">
        <v>61</v>
      </c>
      <c r="D21" s="32" t="s">
        <v>62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spans="2:15" ht="27.6" x14ac:dyDescent="0.3">
      <c r="B22" s="21">
        <v>12</v>
      </c>
      <c r="C22" s="22" t="s">
        <v>63</v>
      </c>
      <c r="D22" s="23" t="s">
        <v>64</v>
      </c>
      <c r="E22" s="23" t="s">
        <v>65</v>
      </c>
      <c r="F22" s="24">
        <v>150</v>
      </c>
      <c r="G22" s="25">
        <v>1</v>
      </c>
      <c r="H22" s="26">
        <f>F22 * G22 * 2469.805358</f>
        <v>370470.80369999999</v>
      </c>
      <c r="I22" s="26">
        <f>F22 * G22 * 2048.44283</f>
        <v>307266.42449999996</v>
      </c>
      <c r="J22" s="26">
        <f>F22 * G22 * 0</f>
        <v>0</v>
      </c>
      <c r="K22" s="26">
        <f>F22 * G22 * 2351.748662</f>
        <v>352762.29930000001</v>
      </c>
      <c r="L22" s="26">
        <f>F22 * G22 * 776.897561</f>
        <v>116534.63415</v>
      </c>
      <c r="M22" s="26">
        <f>F22 * G22 * 493.961072</f>
        <v>74094.160799999998</v>
      </c>
      <c r="N22" s="27">
        <f>SUM(H22:M22)</f>
        <v>1221128.3224500001</v>
      </c>
      <c r="O22" s="28">
        <f>IF(O3&gt;0,N22/O3/12,0)</f>
        <v>0.31141277039952436</v>
      </c>
    </row>
    <row r="23" spans="2:15" ht="27.6" x14ac:dyDescent="0.3">
      <c r="B23" s="21">
        <v>13</v>
      </c>
      <c r="C23" s="22" t="s">
        <v>66</v>
      </c>
      <c r="D23" s="23" t="s">
        <v>67</v>
      </c>
      <c r="E23" s="23" t="s">
        <v>65</v>
      </c>
      <c r="F23" s="24">
        <v>25</v>
      </c>
      <c r="G23" s="25">
        <v>1</v>
      </c>
      <c r="H23" s="26">
        <f>F23 * G23 * 1198.93464</f>
        <v>29973.365999999998</v>
      </c>
      <c r="I23" s="26">
        <f>F23 * G23 * 2048.44283</f>
        <v>51211.070749999999</v>
      </c>
      <c r="J23" s="26">
        <f>F23 * G23 * 0</f>
        <v>0</v>
      </c>
      <c r="K23" s="26">
        <f>F23 * G23 * 1141.625564</f>
        <v>28540.6391</v>
      </c>
      <c r="L23" s="26">
        <f>F23 * G23 * 488.337341</f>
        <v>12208.433525</v>
      </c>
      <c r="M23" s="26">
        <f>F23 * G23 * 239.786928</f>
        <v>5994.6731999999993</v>
      </c>
      <c r="N23" s="27">
        <f>SUM(H23:M23)</f>
        <v>127928.182575</v>
      </c>
      <c r="O23" s="28">
        <f>IF(O3&gt;0,N23/O3/12,0)</f>
        <v>3.2624310660428667E-2</v>
      </c>
    </row>
    <row r="24" spans="2:15" s="18" customFormat="1" ht="13.8" x14ac:dyDescent="0.3">
      <c r="B24" s="19"/>
      <c r="C24" s="20" t="s">
        <v>68</v>
      </c>
      <c r="D24" s="35" t="s">
        <v>69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2:15" s="18" customFormat="1" ht="13.8" x14ac:dyDescent="0.3">
      <c r="B25" s="19"/>
      <c r="C25" s="20" t="s">
        <v>70</v>
      </c>
      <c r="D25" s="32" t="s">
        <v>71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spans="2:15" ht="27.6" x14ac:dyDescent="0.3">
      <c r="B26" s="21">
        <v>14</v>
      </c>
      <c r="C26" s="22" t="s">
        <v>72</v>
      </c>
      <c r="D26" s="23" t="s">
        <v>73</v>
      </c>
      <c r="E26" s="23" t="s">
        <v>74</v>
      </c>
      <c r="F26" s="24">
        <v>1</v>
      </c>
      <c r="G26" s="25">
        <v>1</v>
      </c>
      <c r="H26" s="26">
        <f>F26 * G26 * 10611.743988</f>
        <v>10611.743988</v>
      </c>
      <c r="I26" s="26">
        <f>F26 * G26 * 2754.351573</f>
        <v>2754.3515729999999</v>
      </c>
      <c r="J26" s="26">
        <f>F26 * G26 * 0</f>
        <v>0</v>
      </c>
      <c r="K26" s="26">
        <f>F26 * G26 * 10104.502625</f>
        <v>10104.502624999999</v>
      </c>
      <c r="L26" s="26">
        <f>F26 * G26 * 2700.055907</f>
        <v>2700.0559069999999</v>
      </c>
      <c r="M26" s="26">
        <f>F26 * G26 * 2122.348798</f>
        <v>2122.348798</v>
      </c>
      <c r="N26" s="27">
        <f>SUM(H26:M26)</f>
        <v>28293.002890999996</v>
      </c>
      <c r="O26" s="28">
        <f>IF(O3&gt;0,N26/O3/12,0)</f>
        <v>7.2152960923308898E-3</v>
      </c>
    </row>
    <row r="27" spans="2:15" s="18" customFormat="1" ht="13.8" x14ac:dyDescent="0.3">
      <c r="B27" s="19"/>
      <c r="C27" s="20" t="s">
        <v>75</v>
      </c>
      <c r="D27" s="35" t="s">
        <v>76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2:15" x14ac:dyDescent="0.3">
      <c r="B28" s="21">
        <v>15</v>
      </c>
      <c r="C28" s="22" t="s">
        <v>77</v>
      </c>
      <c r="D28" s="23" t="s">
        <v>78</v>
      </c>
      <c r="E28" s="23" t="s">
        <v>79</v>
      </c>
      <c r="F28" s="24">
        <v>1</v>
      </c>
      <c r="G28" s="25">
        <v>1</v>
      </c>
      <c r="H28" s="26">
        <f>F28 * G28 * 15725.63034</f>
        <v>15725.63034</v>
      </c>
      <c r="I28" s="26">
        <f>F28 * G28 * 21431.820984</f>
        <v>21431.820984000002</v>
      </c>
      <c r="J28" s="26">
        <f>F28 * G28 * 0</f>
        <v>0</v>
      </c>
      <c r="K28" s="26">
        <f>F28 * G28 * 14973.94521</f>
        <v>14973.94521</v>
      </c>
      <c r="L28" s="26">
        <f>F28 * G28 * 5831.673134</f>
        <v>5831.6731339999997</v>
      </c>
      <c r="M28" s="26">
        <f>F28 * G28 * 3145.126068</f>
        <v>3145.126068</v>
      </c>
      <c r="N28" s="27">
        <f>SUM(H28:M28)</f>
        <v>61108.195735999994</v>
      </c>
      <c r="O28" s="28">
        <f>IF(O3&gt;0,N28/O3/12,0)</f>
        <v>1.5583843383538709E-2</v>
      </c>
    </row>
    <row r="29" spans="2:15" s="18" customFormat="1" ht="13.8" x14ac:dyDescent="0.3">
      <c r="B29" s="19"/>
      <c r="C29" s="20" t="s">
        <v>80</v>
      </c>
      <c r="D29" s="35" t="s">
        <v>81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2:15" s="18" customFormat="1" ht="13.8" x14ac:dyDescent="0.3">
      <c r="B30" s="19"/>
      <c r="C30" s="20" t="s">
        <v>82</v>
      </c>
      <c r="D30" s="32" t="s">
        <v>83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2:15" ht="27.6" x14ac:dyDescent="0.3">
      <c r="B31" s="21">
        <v>16</v>
      </c>
      <c r="C31" s="22" t="s">
        <v>84</v>
      </c>
      <c r="D31" s="23" t="s">
        <v>85</v>
      </c>
      <c r="E31" s="23" t="s">
        <v>86</v>
      </c>
      <c r="F31" s="24">
        <v>295</v>
      </c>
      <c r="G31" s="25">
        <v>0.2</v>
      </c>
      <c r="H31" s="26">
        <f>F31 * G31 * 9884.681928</f>
        <v>583196.23375200003</v>
      </c>
      <c r="I31" s="26">
        <f>F31 * G31 * 1920.758253</f>
        <v>113324.73692699999</v>
      </c>
      <c r="J31" s="26">
        <f>F31 * G31 * 0</f>
        <v>0</v>
      </c>
      <c r="K31" s="26">
        <f>F31 * G31 * 9412.194132</f>
        <v>555319.45378800004</v>
      </c>
      <c r="L31" s="26">
        <f>F31 * G31 * 2447.027208</f>
        <v>144374.60527199999</v>
      </c>
      <c r="M31" s="26">
        <f>F31 * G31 * 1976.936386</f>
        <v>116639.246774</v>
      </c>
      <c r="N31" s="27">
        <f>SUM(H31:M31)</f>
        <v>1512854.276513</v>
      </c>
      <c r="O31" s="28">
        <f>IF(O3&gt;0,N31/O3/12,0)</f>
        <v>0.38580887266167868</v>
      </c>
    </row>
    <row r="32" spans="2:15" s="18" customFormat="1" ht="13.8" x14ac:dyDescent="0.3">
      <c r="B32" s="19"/>
      <c r="C32" s="20" t="s">
        <v>87</v>
      </c>
      <c r="D32" s="32" t="s">
        <v>88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</row>
    <row r="33" spans="2:15" ht="41.4" x14ac:dyDescent="0.3">
      <c r="B33" s="21">
        <v>17</v>
      </c>
      <c r="C33" s="22" t="s">
        <v>89</v>
      </c>
      <c r="D33" s="23" t="s">
        <v>90</v>
      </c>
      <c r="E33" s="23" t="s">
        <v>74</v>
      </c>
      <c r="F33" s="24">
        <v>904</v>
      </c>
      <c r="G33" s="25">
        <v>0.2</v>
      </c>
      <c r="H33" s="26">
        <f>F33 * G33 * 7035.031917</f>
        <v>1271933.7705936001</v>
      </c>
      <c r="I33" s="26">
        <f>F33 * G33 * 9846.113853</f>
        <v>1780177.3846224002</v>
      </c>
      <c r="J33" s="26">
        <f>F33 * G33 * 0</f>
        <v>0</v>
      </c>
      <c r="K33" s="26">
        <f>F33 * G33 * 6698.757391</f>
        <v>1211135.3362928</v>
      </c>
      <c r="L33" s="26">
        <f>F33 * G33 * 2636.118957</f>
        <v>476610.30742560007</v>
      </c>
      <c r="M33" s="26">
        <f>F33 * G33 * 1407.006383</f>
        <v>254386.75404639999</v>
      </c>
      <c r="N33" s="27">
        <f>SUM(H33:M33)</f>
        <v>4994243.5529808011</v>
      </c>
      <c r="O33" s="28">
        <f>IF(O3&gt;0,N33/O3/12,0)</f>
        <v>1.2736345495314614</v>
      </c>
    </row>
    <row r="34" spans="2:15" s="18" customFormat="1" ht="13.8" x14ac:dyDescent="0.3">
      <c r="B34" s="19"/>
      <c r="C34" s="20" t="s">
        <v>91</v>
      </c>
      <c r="D34" s="35" t="s">
        <v>92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2:15" ht="27.6" x14ac:dyDescent="0.3">
      <c r="B35" s="21">
        <v>18</v>
      </c>
      <c r="C35" s="22" t="s">
        <v>93</v>
      </c>
      <c r="D35" s="23" t="s">
        <v>94</v>
      </c>
      <c r="E35" s="23" t="s">
        <v>95</v>
      </c>
      <c r="F35" s="24">
        <v>1</v>
      </c>
      <c r="G35" s="25">
        <v>1</v>
      </c>
      <c r="H35" s="26">
        <f>F35 * G35 * 47957.3856</f>
        <v>47957.385600000001</v>
      </c>
      <c r="I35" s="26">
        <f>F35 * G35 * 24446.137819</f>
        <v>24446.137819</v>
      </c>
      <c r="J35" s="26">
        <f>F35 * G35 * 0</f>
        <v>0</v>
      </c>
      <c r="K35" s="26">
        <f>F35 * G35 * 45665.022568</f>
        <v>45665.022568</v>
      </c>
      <c r="L35" s="26">
        <f>F35 * G35 * 13468.132438</f>
        <v>13468.132438000001</v>
      </c>
      <c r="M35" s="26">
        <f>F35 * G35 * 9591.47712</f>
        <v>9591.4771199999996</v>
      </c>
      <c r="N35" s="27">
        <f>SUM(H35:M35)</f>
        <v>141128.15554499999</v>
      </c>
      <c r="O35" s="28">
        <f>IF(O3&gt;0,N35/O3/12,0)</f>
        <v>3.5990574529846733E-2</v>
      </c>
    </row>
    <row r="36" spans="2:15" ht="55.2" x14ac:dyDescent="0.3">
      <c r="B36" s="21">
        <v>19</v>
      </c>
      <c r="C36" s="22" t="s">
        <v>96</v>
      </c>
      <c r="D36" s="23" t="s">
        <v>97</v>
      </c>
      <c r="E36" s="23" t="s">
        <v>74</v>
      </c>
      <c r="F36" s="24">
        <v>300</v>
      </c>
      <c r="G36" s="25">
        <v>0.2</v>
      </c>
      <c r="H36" s="26">
        <f>F36 * G36 * 8085.533305</f>
        <v>485131.99829999998</v>
      </c>
      <c r="I36" s="26">
        <f>F36 * G36 * 9859.683787</f>
        <v>591581.02722000005</v>
      </c>
      <c r="J36" s="26">
        <f>F36 * G36 * 0</f>
        <v>0</v>
      </c>
      <c r="K36" s="26">
        <f>F36 * G36 * 7699.04481299999</f>
        <v>461942.68877999944</v>
      </c>
      <c r="L36" s="26">
        <f>F36 * G36 * 2876.074384</f>
        <v>172564.46304</v>
      </c>
      <c r="M36" s="26">
        <f>F36 * G36 * 1617.106661</f>
        <v>97026.399659999995</v>
      </c>
      <c r="N36" s="27">
        <f>SUM(H36:M36)</f>
        <v>1808246.5769999996</v>
      </c>
      <c r="O36" s="28">
        <f>IF(O3&gt;0,N36/O3/12,0)</f>
        <v>0.46113996846722366</v>
      </c>
    </row>
    <row r="37" spans="2:15" ht="27.6" x14ac:dyDescent="0.3">
      <c r="B37" s="21">
        <v>20</v>
      </c>
      <c r="C37" s="22" t="s">
        <v>98</v>
      </c>
      <c r="D37" s="23" t="s">
        <v>99</v>
      </c>
      <c r="E37" s="23" t="s">
        <v>100</v>
      </c>
      <c r="F37" s="24">
        <v>60</v>
      </c>
      <c r="G37" s="25">
        <v>1</v>
      </c>
      <c r="H37" s="26">
        <f>F37 * G37 * 168.258408</f>
        <v>10095.50448</v>
      </c>
      <c r="I37" s="26">
        <f>F37 * G37 * 2966.184753</f>
        <v>177971.08517999999</v>
      </c>
      <c r="J37" s="26">
        <f>F37 * G37 * 0.045198</f>
        <v>2.7118800000000003</v>
      </c>
      <c r="K37" s="26">
        <f>F37 * G37 * 160.215656</f>
        <v>9612.9393600000003</v>
      </c>
      <c r="L37" s="26">
        <f>F37 * G37 * 351.141526</f>
        <v>21068.491559999999</v>
      </c>
      <c r="M37" s="26">
        <f>F37 * G37 * 33.651682</f>
        <v>2019.1009200000001</v>
      </c>
      <c r="N37" s="27">
        <f>SUM(H37:M37)</f>
        <v>220769.83337999997</v>
      </c>
      <c r="O37" s="28">
        <f>IF(O3&gt;0,N37/O3/12,0)</f>
        <v>5.6300836013343895E-2</v>
      </c>
    </row>
    <row r="38" spans="2:15" s="15" customFormat="1" ht="14.4" x14ac:dyDescent="0.3">
      <c r="B38" s="16"/>
      <c r="C38" s="17" t="s">
        <v>101</v>
      </c>
      <c r="D38" s="34" t="s">
        <v>102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2:15" s="18" customFormat="1" ht="13.8" x14ac:dyDescent="0.3">
      <c r="B39" s="19"/>
      <c r="C39" s="20" t="s">
        <v>103</v>
      </c>
      <c r="D39" s="35" t="s">
        <v>104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2:15" ht="41.4" x14ac:dyDescent="0.3">
      <c r="B40" s="21">
        <v>21</v>
      </c>
      <c r="C40" s="22" t="s">
        <v>105</v>
      </c>
      <c r="D40" s="23" t="s">
        <v>57</v>
      </c>
      <c r="E40" s="23" t="s">
        <v>106</v>
      </c>
      <c r="F40" s="24">
        <v>3</v>
      </c>
      <c r="G40" s="25">
        <v>1</v>
      </c>
      <c r="H40" s="26">
        <f>F40 * G40 * 18833.26497</f>
        <v>56499.794909999997</v>
      </c>
      <c r="I40" s="26">
        <f>F40 * G40 * 8494.963418</f>
        <v>25484.890253999998</v>
      </c>
      <c r="J40" s="26">
        <f>F40 * G40 * 2370.714561</f>
        <v>7112.1436829999993</v>
      </c>
      <c r="K40" s="26">
        <f>F40 * G40 * 20991.796064</f>
        <v>62975.388191999999</v>
      </c>
      <c r="L40" s="26">
        <f>F40 * G40 * 5813.034589</f>
        <v>17439.103767000001</v>
      </c>
      <c r="M40" s="26">
        <f>F40 * G40 * 4409.114905</f>
        <v>13227.344715000001</v>
      </c>
      <c r="N40" s="27">
        <f>SUM(H40:M40)</f>
        <v>182738.66552100002</v>
      </c>
      <c r="O40" s="28">
        <f>IF(O3&gt;0,N40/O3/12,0)</f>
        <v>4.6602108101818064E-2</v>
      </c>
    </row>
    <row r="41" spans="2:15" s="15" customFormat="1" ht="14.4" x14ac:dyDescent="0.3">
      <c r="B41" s="16"/>
      <c r="C41" s="17" t="s">
        <v>107</v>
      </c>
      <c r="D41" s="34" t="s">
        <v>108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2:15" s="18" customFormat="1" ht="13.8" x14ac:dyDescent="0.3">
      <c r="B42" s="19"/>
      <c r="C42" s="20" t="s">
        <v>109</v>
      </c>
      <c r="D42" s="35" t="s">
        <v>110</v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spans="2:15" x14ac:dyDescent="0.3">
      <c r="B43" s="21">
        <v>22</v>
      </c>
      <c r="C43" s="22" t="s">
        <v>111</v>
      </c>
      <c r="D43" s="23" t="s">
        <v>112</v>
      </c>
      <c r="E43" s="23" t="s">
        <v>113</v>
      </c>
      <c r="F43" s="24">
        <v>20</v>
      </c>
      <c r="G43" s="25">
        <v>1</v>
      </c>
      <c r="H43" s="26">
        <f>F43 * G43 * 882.25762</f>
        <v>17645.152399999999</v>
      </c>
      <c r="I43" s="26">
        <f>F43 * G43 * 1034.820331</f>
        <v>20696.406619999998</v>
      </c>
      <c r="J43" s="26">
        <f>F43 * G43 * 0</f>
        <v>0</v>
      </c>
      <c r="K43" s="26">
        <f>F43 * G43 * 840.085706</f>
        <v>16801.714120000001</v>
      </c>
      <c r="L43" s="26">
        <f>F43 * G43 * 309.496402</f>
        <v>6189.9280399999998</v>
      </c>
      <c r="M43" s="26">
        <f>F43 * G43 * 176.451524</f>
        <v>3529.0304800000004</v>
      </c>
      <c r="N43" s="27">
        <f>SUM(H43:M43)</f>
        <v>64862.231660000005</v>
      </c>
      <c r="O43" s="28">
        <f>IF(O3&gt;0,N43/O3/12,0)</f>
        <v>1.6541199548144456E-2</v>
      </c>
    </row>
    <row r="44" spans="2:15" s="18" customFormat="1" ht="13.8" x14ac:dyDescent="0.3">
      <c r="B44" s="19"/>
      <c r="C44" s="20" t="s">
        <v>114</v>
      </c>
      <c r="D44" s="35" t="s">
        <v>115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  <row r="45" spans="2:15" ht="41.4" x14ac:dyDescent="0.3">
      <c r="B45" s="21">
        <v>23</v>
      </c>
      <c r="C45" s="22" t="s">
        <v>116</v>
      </c>
      <c r="D45" s="23" t="s">
        <v>117</v>
      </c>
      <c r="E45" s="23" t="s">
        <v>118</v>
      </c>
      <c r="F45" s="24">
        <v>0.3</v>
      </c>
      <c r="G45" s="25">
        <v>1</v>
      </c>
      <c r="H45" s="26">
        <f>F45 * G45 * 60772.532856</f>
        <v>18231.759856799999</v>
      </c>
      <c r="I45" s="26">
        <f>F45 * G45 * 644469.205006</f>
        <v>193340.76150180001</v>
      </c>
      <c r="J45" s="26">
        <f>F45 * G45 * 0</f>
        <v>0</v>
      </c>
      <c r="K45" s="26">
        <f>F45 * G45 * 57867.6057849999</f>
        <v>17360.281735499968</v>
      </c>
      <c r="L45" s="26">
        <f>F45 * G45 * 81790.3361979999</f>
        <v>24537.100859399969</v>
      </c>
      <c r="M45" s="26">
        <f>F45 * G45 * 12154.506571</f>
        <v>3646.3519713000001</v>
      </c>
      <c r="N45" s="27">
        <f>SUM(H45:M45)</f>
        <v>257116.25592479995</v>
      </c>
      <c r="O45" s="28">
        <f>IF(O3&gt;0,N45/O3/12,0)</f>
        <v>6.5569919311713909E-2</v>
      </c>
    </row>
    <row r="46" spans="2:15" x14ac:dyDescent="0.3">
      <c r="B46" s="21">
        <v>24</v>
      </c>
      <c r="C46" s="22" t="s">
        <v>119</v>
      </c>
      <c r="D46" s="23" t="s">
        <v>120</v>
      </c>
      <c r="E46" s="23" t="s">
        <v>118</v>
      </c>
      <c r="F46" s="24">
        <v>0.1</v>
      </c>
      <c r="G46" s="25">
        <v>1</v>
      </c>
      <c r="H46" s="26">
        <f>F46 * G46 * 274532.29128</f>
        <v>27453.229128000003</v>
      </c>
      <c r="I46" s="26">
        <f>F46 * G46 * 62863.212832</f>
        <v>6286.3212831999999</v>
      </c>
      <c r="J46" s="26">
        <f>F46 * G46 * 0</f>
        <v>0</v>
      </c>
      <c r="K46" s="26">
        <f>F46 * G46 * 261409.647757</f>
        <v>26140.964775700002</v>
      </c>
      <c r="L46" s="26">
        <f>F46 * G46 * 68966.574869</f>
        <v>6896.6574869000005</v>
      </c>
      <c r="M46" s="26">
        <f>F46 * G46 * 54906.458256</f>
        <v>5490.6458256000005</v>
      </c>
      <c r="N46" s="27">
        <f>SUM(H46:M46)</f>
        <v>72267.818499400018</v>
      </c>
      <c r="O46" s="28">
        <f>IF(O3&gt;0,N46/O3/12,0)</f>
        <v>1.8429776097957668E-2</v>
      </c>
    </row>
    <row r="47" spans="2:15" s="15" customFormat="1" ht="14.4" x14ac:dyDescent="0.3">
      <c r="B47" s="16"/>
      <c r="C47" s="17" t="s">
        <v>121</v>
      </c>
      <c r="D47" s="34" t="s">
        <v>122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</row>
    <row r="48" spans="2:15" ht="41.4" x14ac:dyDescent="0.3">
      <c r="B48" s="21">
        <v>25</v>
      </c>
      <c r="C48" s="22" t="s">
        <v>123</v>
      </c>
      <c r="D48" s="23" t="s">
        <v>124</v>
      </c>
      <c r="E48" s="23" t="s">
        <v>125</v>
      </c>
      <c r="F48" s="24">
        <v>1</v>
      </c>
      <c r="G48" s="25">
        <v>1</v>
      </c>
      <c r="H48" s="26">
        <f>F48 * G48 * 14231.09698</f>
        <v>14231.09698</v>
      </c>
      <c r="I48" s="26">
        <f>F48 * G48 * 3662.915935</f>
        <v>3662.915935</v>
      </c>
      <c r="J48" s="26">
        <f>F48 * G48 * 0</f>
        <v>0</v>
      </c>
      <c r="K48" s="26">
        <f>F48 * G48 * 13550.850544</f>
        <v>13550.850544000001</v>
      </c>
      <c r="L48" s="26">
        <f>F48 * G48 * 3617.709241</f>
        <v>3617.709241</v>
      </c>
      <c r="M48" s="26">
        <f>F48 * G48 * 2846.219396</f>
        <v>2846.219396</v>
      </c>
      <c r="N48" s="27">
        <f>SUM(H48:M48)</f>
        <v>37908.792095999997</v>
      </c>
      <c r="O48" s="28">
        <f>IF(O3&gt;0,N48/O3/12,0)</f>
        <v>9.6675195817500382E-3</v>
      </c>
    </row>
    <row r="49" spans="2:15" s="15" customFormat="1" ht="14.4" x14ac:dyDescent="0.3">
      <c r="B49" s="16"/>
      <c r="C49" s="17" t="s">
        <v>126</v>
      </c>
      <c r="D49" s="34" t="s">
        <v>127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</row>
    <row r="50" spans="2:15" s="18" customFormat="1" ht="13.8" x14ac:dyDescent="0.3">
      <c r="B50" s="19"/>
      <c r="C50" s="20" t="s">
        <v>128</v>
      </c>
      <c r="D50" s="35" t="s">
        <v>129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spans="2:15" x14ac:dyDescent="0.3">
      <c r="B51" s="21">
        <v>26</v>
      </c>
      <c r="C51" s="22" t="s">
        <v>130</v>
      </c>
      <c r="D51" s="23" t="s">
        <v>131</v>
      </c>
      <c r="E51" s="23" t="s">
        <v>113</v>
      </c>
      <c r="F51" s="24">
        <v>30</v>
      </c>
      <c r="G51" s="25">
        <v>1</v>
      </c>
      <c r="H51" s="26">
        <f>F51 * G51 * 222.910835</f>
        <v>6687.3250499999995</v>
      </c>
      <c r="I51" s="26">
        <f>F51 * G51 * 128.134032</f>
        <v>3844.0209599999998</v>
      </c>
      <c r="J51" s="26">
        <f>F51 * G51 * 0</f>
        <v>0</v>
      </c>
      <c r="K51" s="26">
        <f>F51 * G51 * 212.255697</f>
        <v>6367.6709099999998</v>
      </c>
      <c r="L51" s="26">
        <f>F51 * G51 * 64.1316279999999</f>
        <v>1923.9488399999973</v>
      </c>
      <c r="M51" s="26">
        <f>F51 * G51 * 44.582167</f>
        <v>1337.4650099999999</v>
      </c>
      <c r="N51" s="27">
        <f>SUM(H51:M51)</f>
        <v>20160.430769999995</v>
      </c>
      <c r="O51" s="28">
        <f>IF(O3&gt;0,N51/O3/12,0)</f>
        <v>5.1413233835550321E-3</v>
      </c>
    </row>
    <row r="52" spans="2:15" s="18" customFormat="1" ht="13.8" x14ac:dyDescent="0.3">
      <c r="B52" s="19"/>
      <c r="C52" s="20" t="s">
        <v>132</v>
      </c>
      <c r="D52" s="35" t="s">
        <v>133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2:15" x14ac:dyDescent="0.3">
      <c r="B53" s="21">
        <v>27</v>
      </c>
      <c r="C53" s="22" t="s">
        <v>134</v>
      </c>
      <c r="D53" s="23" t="s">
        <v>135</v>
      </c>
      <c r="E53" s="23" t="s">
        <v>113</v>
      </c>
      <c r="F53" s="24">
        <v>50</v>
      </c>
      <c r="G53" s="25">
        <v>1</v>
      </c>
      <c r="H53" s="26">
        <f>F53 * G53 * 311.723006</f>
        <v>15586.150299999999</v>
      </c>
      <c r="I53" s="26">
        <f>F53 * G53 * 6.590951</f>
        <v>329.54755</v>
      </c>
      <c r="J53" s="26">
        <f>F53 * G53 * 0</f>
        <v>0</v>
      </c>
      <c r="K53" s="26">
        <f>F53 * G53 * 296.822646</f>
        <v>14841.132300000001</v>
      </c>
      <c r="L53" s="26">
        <f>F53 * G53 * 71.474267</f>
        <v>3573.71335</v>
      </c>
      <c r="M53" s="26">
        <f>F53 * G53 * 62.344601</f>
        <v>3117.2300499999997</v>
      </c>
      <c r="N53" s="27">
        <f>SUM(H53:M53)</f>
        <v>37447.773549999998</v>
      </c>
      <c r="O53" s="28">
        <f>IF(O3&gt;0,N53/O3/12,0)</f>
        <v>9.5499503959601498E-3</v>
      </c>
    </row>
    <row r="54" spans="2:15" s="15" customFormat="1" ht="14.4" x14ac:dyDescent="0.3">
      <c r="B54" s="16"/>
      <c r="C54" s="17" t="s">
        <v>136</v>
      </c>
      <c r="D54" s="34" t="s">
        <v>137</v>
      </c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</row>
    <row r="55" spans="2:15" s="18" customFormat="1" ht="13.8" x14ac:dyDescent="0.3">
      <c r="B55" s="19"/>
      <c r="C55" s="20" t="s">
        <v>138</v>
      </c>
      <c r="D55" s="35" t="s">
        <v>139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</row>
    <row r="56" spans="2:15" s="18" customFormat="1" ht="13.8" x14ac:dyDescent="0.3">
      <c r="B56" s="19"/>
      <c r="C56" s="20" t="s">
        <v>140</v>
      </c>
      <c r="D56" s="32" t="s">
        <v>141</v>
      </c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</row>
    <row r="57" spans="2:15" x14ac:dyDescent="0.3">
      <c r="B57" s="21">
        <v>28</v>
      </c>
      <c r="C57" s="22" t="s">
        <v>142</v>
      </c>
      <c r="D57" s="23" t="s">
        <v>143</v>
      </c>
      <c r="E57" s="23" t="s">
        <v>144</v>
      </c>
      <c r="F57" s="24">
        <v>2</v>
      </c>
      <c r="G57" s="25">
        <v>1</v>
      </c>
      <c r="H57" s="26">
        <f>F57 * G57 * 5020.969116</f>
        <v>10041.938232</v>
      </c>
      <c r="I57" s="26">
        <f>F57 * G57 * 49643.360558</f>
        <v>99286.721116000001</v>
      </c>
      <c r="J57" s="26">
        <f>F57 * G57 * 138.902445</f>
        <v>277.80489</v>
      </c>
      <c r="K57" s="26">
        <f>F57 * G57 * 4856.55397</f>
        <v>9713.1079399999999</v>
      </c>
      <c r="L57" s="26">
        <f>F57 * G57 * 6401.724833</f>
        <v>12803.449666</v>
      </c>
      <c r="M57" s="26">
        <f>F57 * G57 * 1020.070147</f>
        <v>2040.140294</v>
      </c>
      <c r="N57" s="27">
        <f>SUM(H57:M57)</f>
        <v>134163.16213800001</v>
      </c>
      <c r="O57" s="28">
        <f>IF(O3&gt;0,N57/O3/12,0)</f>
        <v>3.4214358342888961E-2</v>
      </c>
    </row>
    <row r="58" spans="2:15" s="18" customFormat="1" ht="13.8" x14ac:dyDescent="0.3">
      <c r="B58" s="19"/>
      <c r="C58" s="20" t="s">
        <v>145</v>
      </c>
      <c r="D58" s="35" t="s">
        <v>146</v>
      </c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2:15" s="18" customFormat="1" ht="13.8" x14ac:dyDescent="0.3">
      <c r="B59" s="19"/>
      <c r="C59" s="20" t="s">
        <v>147</v>
      </c>
      <c r="D59" s="32" t="s">
        <v>148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</row>
    <row r="60" spans="2:15" ht="27.6" x14ac:dyDescent="0.3">
      <c r="B60" s="21">
        <v>29</v>
      </c>
      <c r="C60" s="22" t="s">
        <v>149</v>
      </c>
      <c r="D60" s="23" t="s">
        <v>150</v>
      </c>
      <c r="E60" s="23" t="s">
        <v>151</v>
      </c>
      <c r="F60" s="24">
        <v>0.5</v>
      </c>
      <c r="G60" s="25">
        <v>1</v>
      </c>
      <c r="H60" s="26">
        <f>F60 * G60 * 9669.01614</f>
        <v>4834.5080699999999</v>
      </c>
      <c r="I60" s="26">
        <f>F60 * G60 * 98148.290782</f>
        <v>49074.145390999998</v>
      </c>
      <c r="J60" s="26">
        <f>F60 * G60 * 264.389913</f>
        <v>132.19495649999999</v>
      </c>
      <c r="K60" s="26">
        <f>F60 * G60 * 9342.89409</f>
        <v>4671.4470449999999</v>
      </c>
      <c r="L60" s="26">
        <f>F60 * G60 * 12595.325497</f>
        <v>6297.6627484999999</v>
      </c>
      <c r="M60" s="26">
        <f>F60 * G60 * 1962.380611</f>
        <v>981.19030550000002</v>
      </c>
      <c r="N60" s="27">
        <f>SUM(H60:M60)</f>
        <v>65991.14851649999</v>
      </c>
      <c r="O60" s="28">
        <f>IF(O3&gt;0,N60/O3/12,0)</f>
        <v>1.6829096503255644E-2</v>
      </c>
    </row>
    <row r="61" spans="2:15" ht="27.6" x14ac:dyDescent="0.3">
      <c r="B61" s="21">
        <v>30</v>
      </c>
      <c r="C61" s="22" t="s">
        <v>152</v>
      </c>
      <c r="D61" s="23" t="s">
        <v>153</v>
      </c>
      <c r="E61" s="23" t="s">
        <v>144</v>
      </c>
      <c r="F61" s="24">
        <v>2</v>
      </c>
      <c r="G61" s="25">
        <v>1</v>
      </c>
      <c r="H61" s="26">
        <f>F61 * G61 * 2940.07659</f>
        <v>5880.1531800000002</v>
      </c>
      <c r="I61" s="26">
        <f>F61 * G61 * 6317.28551</f>
        <v>12634.571019999999</v>
      </c>
      <c r="J61" s="26">
        <f>F61 * G61 * 157.573917</f>
        <v>315.14783399999999</v>
      </c>
      <c r="K61" s="26">
        <f>F61 * G61 * 2915.441269</f>
        <v>5830.8825379999998</v>
      </c>
      <c r="L61" s="26">
        <f>F61 * G61 * 1365.45868</f>
        <v>2730.9173599999999</v>
      </c>
      <c r="M61" s="26">
        <f>F61 * G61 * 612.359015</f>
        <v>1224.71803</v>
      </c>
      <c r="N61" s="27">
        <f>SUM(H61:M61)</f>
        <v>28616.389961999997</v>
      </c>
      <c r="O61" s="28">
        <f>IF(O3&gt;0,N61/O3/12,0)</f>
        <v>7.2977664288549383E-3</v>
      </c>
    </row>
    <row r="62" spans="2:15" s="18" customFormat="1" ht="13.8" x14ac:dyDescent="0.3">
      <c r="B62" s="19"/>
      <c r="C62" s="20" t="s">
        <v>154</v>
      </c>
      <c r="D62" s="32" t="s">
        <v>155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</row>
    <row r="63" spans="2:15" s="18" customFormat="1" ht="13.8" x14ac:dyDescent="0.3">
      <c r="B63" s="19"/>
      <c r="C63" s="20" t="s">
        <v>156</v>
      </c>
      <c r="D63" s="36" t="s">
        <v>157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2:15" ht="27.6" x14ac:dyDescent="0.3">
      <c r="B64" s="21">
        <v>31</v>
      </c>
      <c r="C64" s="22" t="s">
        <v>158</v>
      </c>
      <c r="D64" s="23" t="s">
        <v>159</v>
      </c>
      <c r="E64" s="23" t="s">
        <v>151</v>
      </c>
      <c r="F64" s="24">
        <v>5</v>
      </c>
      <c r="G64" s="25">
        <v>1</v>
      </c>
      <c r="H64" s="26">
        <f>F64 * G64 * 11007.941238</f>
        <v>55039.706189999997</v>
      </c>
      <c r="I64" s="26">
        <f>F64 * G64 * 62351.699056</f>
        <v>311758.49527999997</v>
      </c>
      <c r="J64" s="26">
        <f>F64 * G64 * 0</f>
        <v>0</v>
      </c>
      <c r="K64" s="26">
        <f>F64 * G64 * 10481.761647</f>
        <v>52408.808234999997</v>
      </c>
      <c r="L64" s="26">
        <f>F64 * G64 * 9077.53546499999</f>
        <v>45387.677324999953</v>
      </c>
      <c r="M64" s="26">
        <f>F64 * G64 * 2201.588248</f>
        <v>11007.94124</v>
      </c>
      <c r="N64" s="27">
        <f>SUM(H64:M64)</f>
        <v>475602.62826999993</v>
      </c>
      <c r="O64" s="28">
        <f>IF(O3&gt;0,N64/O3/12,0)</f>
        <v>0.12128842592210061</v>
      </c>
    </row>
    <row r="65" spans="2:15" s="18" customFormat="1" ht="13.8" x14ac:dyDescent="0.3">
      <c r="B65" s="19"/>
      <c r="C65" s="20" t="s">
        <v>160</v>
      </c>
      <c r="D65" s="35" t="s">
        <v>161</v>
      </c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2:15" x14ac:dyDescent="0.3">
      <c r="B66" s="21">
        <v>32</v>
      </c>
      <c r="C66" s="22" t="s">
        <v>162</v>
      </c>
      <c r="D66" s="23" t="s">
        <v>163</v>
      </c>
      <c r="E66" s="23" t="s">
        <v>164</v>
      </c>
      <c r="F66" s="24">
        <v>50</v>
      </c>
      <c r="G66" s="25">
        <v>1</v>
      </c>
      <c r="H66" s="26">
        <f>F66 * G66 * 422.357371</f>
        <v>21117.868549999999</v>
      </c>
      <c r="I66" s="26">
        <f>F66 * G66 * 102.700969</f>
        <v>5135.0484500000002</v>
      </c>
      <c r="J66" s="26">
        <f>F66 * G66 * 0</f>
        <v>0</v>
      </c>
      <c r="K66" s="26">
        <f>F66 * G66 * 402.168689</f>
        <v>20108.434449999997</v>
      </c>
      <c r="L66" s="26">
        <f>F66 * G66 * 106.734193</f>
        <v>5336.7096500000007</v>
      </c>
      <c r="M66" s="26">
        <f>F66 * G66 * 84.471474</f>
        <v>4223.5736999999999</v>
      </c>
      <c r="N66" s="27">
        <f>SUM(H66:M66)</f>
        <v>55921.634800000007</v>
      </c>
      <c r="O66" s="28">
        <f>IF(O3&gt;0,N66/O3/12,0)</f>
        <v>1.4261163956461676E-2</v>
      </c>
    </row>
    <row r="67" spans="2:15" s="18" customFormat="1" ht="13.8" x14ac:dyDescent="0.3">
      <c r="B67" s="19"/>
      <c r="C67" s="20" t="s">
        <v>165</v>
      </c>
      <c r="D67" s="35" t="s">
        <v>166</v>
      </c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2:15" ht="27.6" x14ac:dyDescent="0.3">
      <c r="B68" s="21">
        <v>33</v>
      </c>
      <c r="C68" s="22" t="s">
        <v>167</v>
      </c>
      <c r="D68" s="23" t="s">
        <v>168</v>
      </c>
      <c r="E68" s="23" t="s">
        <v>86</v>
      </c>
      <c r="F68" s="24">
        <v>0.8</v>
      </c>
      <c r="G68" s="25">
        <v>1</v>
      </c>
      <c r="H68" s="26">
        <f>F68 * G68 * 4009.492853</f>
        <v>3207.5942824000003</v>
      </c>
      <c r="I68" s="26">
        <f>F68 * G68 * 1986.118472</f>
        <v>1588.8947776000002</v>
      </c>
      <c r="J68" s="26">
        <f>F68 * G68 * 0.7614</f>
        <v>0.60911999999999999</v>
      </c>
      <c r="K68" s="26">
        <f>F68 * G68 * 3817.839094</f>
        <v>3054.2712752000002</v>
      </c>
      <c r="L68" s="26">
        <f>F68 * G68 * 1119.999646</f>
        <v>895.99971679999999</v>
      </c>
      <c r="M68" s="26">
        <f>F68 * G68 * 801.898571</f>
        <v>641.51885679999998</v>
      </c>
      <c r="N68" s="27">
        <f>SUM(H68:M68)</f>
        <v>9388.8880288000018</v>
      </c>
      <c r="O68" s="28">
        <f>IF(O3&gt;0,N68/O3/12,0)</f>
        <v>2.3943590352186396E-3</v>
      </c>
    </row>
    <row r="69" spans="2:15" s="18" customFormat="1" ht="13.8" x14ac:dyDescent="0.3">
      <c r="B69" s="19"/>
      <c r="C69" s="20" t="s">
        <v>169</v>
      </c>
      <c r="D69" s="35" t="s">
        <v>170</v>
      </c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2:15" ht="27.6" x14ac:dyDescent="0.3">
      <c r="B70" s="21">
        <v>34</v>
      </c>
      <c r="C70" s="22" t="s">
        <v>171</v>
      </c>
      <c r="D70" s="23" t="s">
        <v>172</v>
      </c>
      <c r="E70" s="23" t="s">
        <v>173</v>
      </c>
      <c r="F70" s="24">
        <v>2</v>
      </c>
      <c r="G70" s="25">
        <v>1</v>
      </c>
      <c r="H70" s="26">
        <f>F70 * G70 * 18421.452684</f>
        <v>36842.905368</v>
      </c>
      <c r="I70" s="26">
        <f>F70 * G70 * 32452.053528</f>
        <v>64904.107056000001</v>
      </c>
      <c r="J70" s="26">
        <f>F70 * G70 * 0</f>
        <v>0</v>
      </c>
      <c r="K70" s="26">
        <f>F70 * G70 * 17540.907246</f>
        <v>35081.814491999998</v>
      </c>
      <c r="L70" s="26">
        <f>F70 * G70 * 7606.413271</f>
        <v>15212.826542000001</v>
      </c>
      <c r="M70" s="26">
        <f>F70 * G70 * 3684.290537</f>
        <v>7368.5810739999997</v>
      </c>
      <c r="N70" s="27">
        <f>SUM(H70:M70)</f>
        <v>159410.23453199997</v>
      </c>
      <c r="O70" s="28">
        <f>IF(O3&gt;0,N70/O3/12,0)</f>
        <v>4.0652879679384128E-2</v>
      </c>
    </row>
    <row r="71" spans="2:15" x14ac:dyDescent="0.3">
      <c r="B71" s="21">
        <v>35</v>
      </c>
      <c r="C71" s="22" t="s">
        <v>174</v>
      </c>
      <c r="D71" s="23" t="s">
        <v>175</v>
      </c>
      <c r="E71" s="23" t="s">
        <v>176</v>
      </c>
      <c r="F71" s="24">
        <v>1</v>
      </c>
      <c r="G71" s="25">
        <v>1</v>
      </c>
      <c r="H71" s="26">
        <f>F71 * G71 * 20142.101952</f>
        <v>20142.101952000001</v>
      </c>
      <c r="I71" s="26">
        <f>F71 * G71 * 2458.122278</f>
        <v>2458.1222779999998</v>
      </c>
      <c r="J71" s="26">
        <f>F71 * G71 * 0</f>
        <v>0</v>
      </c>
      <c r="K71" s="26">
        <f>F71 * G71 * 19179.309479</f>
        <v>19179.309479</v>
      </c>
      <c r="L71" s="26">
        <f>F71 * G71 * 4832.739157</f>
        <v>4832.739157</v>
      </c>
      <c r="M71" s="26">
        <f>F71 * G71 * 4028.42039</f>
        <v>4028.4203900000002</v>
      </c>
      <c r="N71" s="27">
        <f>SUM(H71:M71)</f>
        <v>50640.693255999999</v>
      </c>
      <c r="O71" s="28">
        <f>IF(O3&gt;0,N71/O3/12,0)</f>
        <v>1.2914415538379414E-2</v>
      </c>
    </row>
    <row r="72" spans="2:15" s="18" customFormat="1" ht="13.8" x14ac:dyDescent="0.3">
      <c r="B72" s="19"/>
      <c r="C72" s="20" t="s">
        <v>177</v>
      </c>
      <c r="D72" s="35" t="s">
        <v>178</v>
      </c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</row>
    <row r="73" spans="2:15" x14ac:dyDescent="0.3">
      <c r="B73" s="21">
        <v>36</v>
      </c>
      <c r="C73" s="22" t="s">
        <v>179</v>
      </c>
      <c r="D73" s="23" t="s">
        <v>180</v>
      </c>
      <c r="E73" s="23" t="s">
        <v>181</v>
      </c>
      <c r="F73" s="24">
        <v>2</v>
      </c>
      <c r="G73" s="25">
        <v>1</v>
      </c>
      <c r="H73" s="26">
        <f>F73 * G73 * 28774.43136</f>
        <v>57548.862719999997</v>
      </c>
      <c r="I73" s="26">
        <f>F73 * G73 * 63289.546907</f>
        <v>126579.09381400001</v>
      </c>
      <c r="J73" s="26">
        <f>F73 * G73 * 0</f>
        <v>0</v>
      </c>
      <c r="K73" s="26">
        <f>F73 * G73 * 27399.013541</f>
        <v>54798.027082000001</v>
      </c>
      <c r="L73" s="26">
        <f>F73 * G73 * 13210.486137</f>
        <v>26420.972274</v>
      </c>
      <c r="M73" s="26">
        <f>F73 * G73 * 5754.886272</f>
        <v>11509.772543999999</v>
      </c>
      <c r="N73" s="27">
        <f>SUM(H73:M73)</f>
        <v>276856.72843399999</v>
      </c>
      <c r="O73" s="28">
        <f>IF(O3&gt;0,N73/O3/12,0)</f>
        <v>7.0604144724446774E-2</v>
      </c>
    </row>
    <row r="74" spans="2:15" x14ac:dyDescent="0.3">
      <c r="B74" s="21">
        <v>37</v>
      </c>
      <c r="C74" s="22" t="s">
        <v>182</v>
      </c>
      <c r="D74" s="23" t="s">
        <v>183</v>
      </c>
      <c r="E74" s="23" t="s">
        <v>33</v>
      </c>
      <c r="F74" s="24">
        <v>0.1</v>
      </c>
      <c r="G74" s="25">
        <v>1</v>
      </c>
      <c r="H74" s="26">
        <f>F74 * G74 * 13667.854896</f>
        <v>1366.7854896000001</v>
      </c>
      <c r="I74" s="26">
        <f>F74 * G74 * 37069.741643</f>
        <v>3706.9741643000002</v>
      </c>
      <c r="J74" s="26">
        <f>F74 * G74 * 0</f>
        <v>0</v>
      </c>
      <c r="K74" s="26">
        <f>F74 * G74 * 13014.531432</f>
        <v>1301.4531432000001</v>
      </c>
      <c r="L74" s="26">
        <f>F74 * G74 * 7014.241239</f>
        <v>701.42412390000004</v>
      </c>
      <c r="M74" s="26">
        <f>F74 * G74 * 2733.570979</f>
        <v>273.35709790000004</v>
      </c>
      <c r="N74" s="27">
        <f>SUM(H74:M74)</f>
        <v>7349.9940189000008</v>
      </c>
      <c r="O74" s="28">
        <f>IF(O3&gt;0,N74/O3/12,0)</f>
        <v>1.8743992402479905E-3</v>
      </c>
    </row>
    <row r="75" spans="2:15" x14ac:dyDescent="0.3">
      <c r="B75" s="21">
        <v>38</v>
      </c>
      <c r="C75" s="22" t="s">
        <v>184</v>
      </c>
      <c r="D75" s="23" t="s">
        <v>185</v>
      </c>
      <c r="E75" s="23" t="s">
        <v>33</v>
      </c>
      <c r="F75" s="24">
        <v>3</v>
      </c>
      <c r="G75" s="25">
        <v>1</v>
      </c>
      <c r="H75" s="26">
        <f>F75 * G75 * 11030.198688</f>
        <v>33090.596063999998</v>
      </c>
      <c r="I75" s="26">
        <f>F75 * G75 * 18913.641643</f>
        <v>56740.924929000001</v>
      </c>
      <c r="J75" s="26">
        <f>F75 * G75 * 0</f>
        <v>0</v>
      </c>
      <c r="K75" s="26">
        <f>F75 * G75 * 10502.955191</f>
        <v>31508.865572999995</v>
      </c>
      <c r="L75" s="26">
        <f>F75 * G75 * 4499.87411999999</f>
        <v>13499.622359999972</v>
      </c>
      <c r="M75" s="26">
        <f>F75 * G75 * 2206.039738</f>
        <v>6618.1192140000003</v>
      </c>
      <c r="N75" s="27">
        <f>SUM(H75:M75)</f>
        <v>141458.12813999999</v>
      </c>
      <c r="O75" s="28">
        <f>IF(O3&gt;0,N75/O3/12,0)</f>
        <v>3.6074724310075156E-2</v>
      </c>
    </row>
    <row r="76" spans="2:15" s="18" customFormat="1" ht="13.8" x14ac:dyDescent="0.3">
      <c r="B76" s="19"/>
      <c r="C76" s="20" t="s">
        <v>186</v>
      </c>
      <c r="D76" s="35" t="s">
        <v>187</v>
      </c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</row>
    <row r="77" spans="2:15" ht="27.6" x14ac:dyDescent="0.3">
      <c r="B77" s="21">
        <v>39</v>
      </c>
      <c r="C77" s="22" t="s">
        <v>188</v>
      </c>
      <c r="D77" s="23" t="s">
        <v>189</v>
      </c>
      <c r="E77" s="23" t="s">
        <v>173</v>
      </c>
      <c r="F77" s="24">
        <v>3</v>
      </c>
      <c r="G77" s="25">
        <v>1</v>
      </c>
      <c r="H77" s="26">
        <f>F77 * G77 * 14827.022892</f>
        <v>44481.068676000003</v>
      </c>
      <c r="I77" s="26">
        <f>F77 * G77 * 43447.929748</f>
        <v>130343.78924400001</v>
      </c>
      <c r="J77" s="26">
        <f>F77 * G77 * 0</f>
        <v>0</v>
      </c>
      <c r="K77" s="26">
        <f>F77 * G77 * 14118.2911979999</f>
        <v>42354.873593999699</v>
      </c>
      <c r="L77" s="26">
        <f>F77 * G77 * 7950.33740799999</f>
        <v>23851.012223999969</v>
      </c>
      <c r="M77" s="26">
        <f>F77 * G77 * 2965.404578</f>
        <v>8896.2137340000008</v>
      </c>
      <c r="N77" s="27">
        <f>SUM(H77:M77)</f>
        <v>249926.95747199966</v>
      </c>
      <c r="O77" s="28">
        <f>IF(O3&gt;0,N77/O3/12,0)</f>
        <v>6.3736500737060206E-2</v>
      </c>
    </row>
    <row r="78" spans="2:15" s="18" customFormat="1" ht="13.8" x14ac:dyDescent="0.3">
      <c r="B78" s="19"/>
      <c r="C78" s="20" t="s">
        <v>190</v>
      </c>
      <c r="D78" s="35" t="s">
        <v>191</v>
      </c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</row>
    <row r="79" spans="2:15" x14ac:dyDescent="0.3">
      <c r="B79" s="21">
        <v>40</v>
      </c>
      <c r="C79" s="22" t="s">
        <v>192</v>
      </c>
      <c r="D79" s="23" t="s">
        <v>193</v>
      </c>
      <c r="E79" s="23" t="s">
        <v>194</v>
      </c>
      <c r="F79" s="24">
        <v>0.1</v>
      </c>
      <c r="G79" s="25">
        <v>1</v>
      </c>
      <c r="H79" s="26">
        <f>F79 * G79 * 12805.156134</f>
        <v>1280.5156134000001</v>
      </c>
      <c r="I79" s="26">
        <f>F79 * G79 * 8711.719081</f>
        <v>871.1719081</v>
      </c>
      <c r="J79" s="26">
        <f>F79 * G79 * 0</f>
        <v>0</v>
      </c>
      <c r="K79" s="26">
        <f>F79 * G79 * 12193.069671</f>
        <v>1219.3069671000001</v>
      </c>
      <c r="L79" s="26">
        <f>F79 * G79 * 3826.58798</f>
        <v>382.65879799999999</v>
      </c>
      <c r="M79" s="26">
        <f>F79 * G79 * 2561.031227</f>
        <v>256.10312270000003</v>
      </c>
      <c r="N79" s="27">
        <f>SUM(H79:M79)</f>
        <v>4009.7564093000001</v>
      </c>
      <c r="O79" s="28">
        <f>IF(O3&gt;0,N79/O3/12,0)</f>
        <v>1.0225701337776404E-3</v>
      </c>
    </row>
    <row r="80" spans="2:15" s="15" customFormat="1" ht="14.4" x14ac:dyDescent="0.3">
      <c r="B80" s="16"/>
      <c r="C80" s="17" t="s">
        <v>195</v>
      </c>
      <c r="D80" s="34" t="s">
        <v>196</v>
      </c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</row>
    <row r="81" spans="2:15" s="18" customFormat="1" ht="13.8" x14ac:dyDescent="0.3">
      <c r="B81" s="19"/>
      <c r="C81" s="20" t="s">
        <v>197</v>
      </c>
      <c r="D81" s="35" t="s">
        <v>198</v>
      </c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</row>
    <row r="82" spans="2:15" ht="27.6" x14ac:dyDescent="0.3">
      <c r="B82" s="21">
        <v>41</v>
      </c>
      <c r="C82" s="22" t="s">
        <v>199</v>
      </c>
      <c r="D82" s="23" t="s">
        <v>200</v>
      </c>
      <c r="E82" s="23" t="s">
        <v>201</v>
      </c>
      <c r="F82" s="24">
        <v>0.1</v>
      </c>
      <c r="G82" s="25">
        <v>1</v>
      </c>
      <c r="H82" s="26">
        <f>F82 * G82 * 61520.772929</f>
        <v>6152.0772929000004</v>
      </c>
      <c r="I82" s="26">
        <f>F82 * G82 * 5219.02288</f>
        <v>521.90228800000011</v>
      </c>
      <c r="J82" s="26">
        <f>F82 * G82 * 12.241125</f>
        <v>1.2241125000000002</v>
      </c>
      <c r="K82" s="26">
        <f>F82 * G82 * 58580.079983</f>
        <v>5858.0079983000005</v>
      </c>
      <c r="L82" s="26">
        <f>F82 * G82 * 14520.626644</f>
        <v>1452.0626644000001</v>
      </c>
      <c r="M82" s="26">
        <f>F82 * G82 * 12304.154586</f>
        <v>1230.4154586000002</v>
      </c>
      <c r="N82" s="27">
        <f t="shared" ref="N82:N94" si="2">SUM(H82:M82)</f>
        <v>15215.689814700003</v>
      </c>
      <c r="O82" s="28">
        <f>IF(O3&gt;0,N82/O3/12,0)</f>
        <v>3.8803130118452958E-3</v>
      </c>
    </row>
    <row r="83" spans="2:15" ht="27.6" x14ac:dyDescent="0.3">
      <c r="B83" s="21">
        <v>42</v>
      </c>
      <c r="C83" s="22" t="s">
        <v>202</v>
      </c>
      <c r="D83" s="23" t="s">
        <v>203</v>
      </c>
      <c r="E83" s="23" t="s">
        <v>201</v>
      </c>
      <c r="F83" s="24">
        <v>0.11</v>
      </c>
      <c r="G83" s="25">
        <v>1</v>
      </c>
      <c r="H83" s="26">
        <f>F83 * G83 * 81150.834824</f>
        <v>8926.5918306399999</v>
      </c>
      <c r="I83" s="26">
        <f>F83 * G83 * 7762.05</f>
        <v>853.82550000000003</v>
      </c>
      <c r="J83" s="26">
        <f>F83 * G83 * 16.19595</f>
        <v>1.7815544999999999</v>
      </c>
      <c r="K83" s="26">
        <f>F83 * G83 * 77271.82492</f>
        <v>8499.9007411999992</v>
      </c>
      <c r="L83" s="26">
        <f>F83 * G83 * 19246.478165</f>
        <v>2117.1125981499999</v>
      </c>
      <c r="M83" s="26">
        <f>F83 * G83 * 16230.166965</f>
        <v>1785.31836615</v>
      </c>
      <c r="N83" s="27">
        <f t="shared" si="2"/>
        <v>22184.530590640003</v>
      </c>
      <c r="O83" s="28">
        <f>IF(O3&gt;0,N83/O3/12,0)</f>
        <v>5.6575103568012397E-3</v>
      </c>
    </row>
    <row r="84" spans="2:15" x14ac:dyDescent="0.3">
      <c r="B84" s="21">
        <v>43</v>
      </c>
      <c r="C84" s="22" t="s">
        <v>204</v>
      </c>
      <c r="D84" s="23" t="s">
        <v>205</v>
      </c>
      <c r="E84" s="23" t="s">
        <v>206</v>
      </c>
      <c r="F84" s="24">
        <v>1</v>
      </c>
      <c r="G84" s="25">
        <v>1</v>
      </c>
      <c r="H84" s="26">
        <f>F84 * G84 * 15999.337226</f>
        <v>15999.337226</v>
      </c>
      <c r="I84" s="26">
        <f>F84 * G84 * 26792.078374</f>
        <v>26792.078374000001</v>
      </c>
      <c r="J84" s="26">
        <f t="shared" ref="J84:J94" si="3">F84 * G84 * 0</f>
        <v>0</v>
      </c>
      <c r="K84" s="26">
        <f>F84 * G84 * 15234.568907</f>
        <v>15234.568907000001</v>
      </c>
      <c r="L84" s="26">
        <f>F84 * G84 * 6459.327381</f>
        <v>6459.3273810000001</v>
      </c>
      <c r="M84" s="26">
        <f>F84 * G84 * 3199.867445</f>
        <v>3199.8674449999999</v>
      </c>
      <c r="N84" s="27">
        <f t="shared" si="2"/>
        <v>67685.179333000007</v>
      </c>
      <c r="O84" s="28">
        <f>IF(O3&gt;0,N84/O3/12,0)</f>
        <v>1.7261109109965155E-2</v>
      </c>
    </row>
    <row r="85" spans="2:15" ht="41.4" x14ac:dyDescent="0.3">
      <c r="B85" s="21">
        <v>44</v>
      </c>
      <c r="C85" s="22" t="s">
        <v>207</v>
      </c>
      <c r="D85" s="23" t="s">
        <v>208</v>
      </c>
      <c r="E85" s="23" t="s">
        <v>209</v>
      </c>
      <c r="F85" s="24">
        <v>0.5</v>
      </c>
      <c r="G85" s="25">
        <v>1</v>
      </c>
      <c r="H85" s="26">
        <f>F85 * G85 * 17363.580816</f>
        <v>8681.7904080000008</v>
      </c>
      <c r="I85" s="26">
        <f>F85 * G85 * 11869.673348</f>
        <v>5934.8366740000001</v>
      </c>
      <c r="J85" s="26">
        <f t="shared" si="3"/>
        <v>0</v>
      </c>
      <c r="K85" s="26">
        <f>F85 * G85 * 16533.601653</f>
        <v>8266.8008265000008</v>
      </c>
      <c r="L85" s="26">
        <f>F85 * G85 * 5194.774844</f>
        <v>2597.3874219999998</v>
      </c>
      <c r="M85" s="26">
        <f>F85 * G85 * 3472.716163</f>
        <v>1736.3580815</v>
      </c>
      <c r="N85" s="27">
        <f t="shared" si="2"/>
        <v>27217.173412</v>
      </c>
      <c r="O85" s="28">
        <f>IF(O3&gt;0,N85/O3/12,0)</f>
        <v>6.9409375074274728E-3</v>
      </c>
    </row>
    <row r="86" spans="2:15" ht="27.6" x14ac:dyDescent="0.3">
      <c r="B86" s="21">
        <v>45</v>
      </c>
      <c r="C86" s="22" t="s">
        <v>210</v>
      </c>
      <c r="D86" s="23" t="s">
        <v>211</v>
      </c>
      <c r="E86" s="23" t="s">
        <v>212</v>
      </c>
      <c r="F86" s="24">
        <v>10</v>
      </c>
      <c r="G86" s="25">
        <v>1</v>
      </c>
      <c r="H86" s="26">
        <f>F86 * G86 * 1430.530826</f>
        <v>14305.30826</v>
      </c>
      <c r="I86" s="26">
        <f>F86 * G86 * 309.992824</f>
        <v>3099.9282399999997</v>
      </c>
      <c r="J86" s="26">
        <f t="shared" si="3"/>
        <v>0</v>
      </c>
      <c r="K86" s="26">
        <f>F86 * G86 * 1362.151453</f>
        <v>13621.51453</v>
      </c>
      <c r="L86" s="26">
        <f>F86 * G86 * 357.516423</f>
        <v>3575.1642299999999</v>
      </c>
      <c r="M86" s="26">
        <f>F86 * G86 * 286.106165</f>
        <v>2861.0616499999996</v>
      </c>
      <c r="N86" s="27">
        <f t="shared" si="2"/>
        <v>37462.976909999998</v>
      </c>
      <c r="O86" s="28">
        <f>IF(O3&gt;0,N86/O3/12,0)</f>
        <v>9.553827564616332E-3</v>
      </c>
    </row>
    <row r="87" spans="2:15" ht="27.6" x14ac:dyDescent="0.3">
      <c r="B87" s="21">
        <v>46</v>
      </c>
      <c r="C87" s="22" t="s">
        <v>213</v>
      </c>
      <c r="D87" s="23" t="s">
        <v>214</v>
      </c>
      <c r="E87" s="23" t="s">
        <v>215</v>
      </c>
      <c r="F87" s="24">
        <v>75</v>
      </c>
      <c r="G87" s="25">
        <v>1</v>
      </c>
      <c r="H87" s="26">
        <f>F87 * G87 * 42.235737</f>
        <v>3167.6802750000002</v>
      </c>
      <c r="I87" s="26">
        <f>F87 * G87 * 95.662008</f>
        <v>7174.6505999999999</v>
      </c>
      <c r="J87" s="26">
        <f t="shared" si="3"/>
        <v>0</v>
      </c>
      <c r="K87" s="26">
        <f>F87 * G87 * 40.216869</f>
        <v>3016.265175</v>
      </c>
      <c r="L87" s="26">
        <f>F87 * G87 * 19.682266</f>
        <v>1476.16995</v>
      </c>
      <c r="M87" s="26">
        <f>F87 * G87 * 8.447147</f>
        <v>633.536025</v>
      </c>
      <c r="N87" s="27">
        <f t="shared" si="2"/>
        <v>15468.302024999999</v>
      </c>
      <c r="O87" s="28">
        <f>IF(O3&gt;0,N87/O3/12,0)</f>
        <v>3.94473430713426E-3</v>
      </c>
    </row>
    <row r="88" spans="2:15" x14ac:dyDescent="0.3">
      <c r="B88" s="21">
        <v>47</v>
      </c>
      <c r="C88" s="22" t="s">
        <v>216</v>
      </c>
      <c r="D88" s="23" t="s">
        <v>217</v>
      </c>
      <c r="E88" s="23" t="s">
        <v>215</v>
      </c>
      <c r="F88" s="24">
        <v>60</v>
      </c>
      <c r="G88" s="25">
        <v>1</v>
      </c>
      <c r="H88" s="26">
        <f>F88 * G88 * 14.078579</f>
        <v>844.71474000000001</v>
      </c>
      <c r="I88" s="26">
        <f>F88 * G88 * 0.9775</f>
        <v>58.650000000000006</v>
      </c>
      <c r="J88" s="26">
        <f t="shared" si="3"/>
        <v>0</v>
      </c>
      <c r="K88" s="26">
        <f>F88 * G88 * 13.4056229999999</f>
        <v>804.33737999999403</v>
      </c>
      <c r="L88" s="26">
        <f>F88 * G88 * 3.299767</f>
        <v>197.98602</v>
      </c>
      <c r="M88" s="26">
        <f>F88 * G88 * 2.815716</f>
        <v>168.94296</v>
      </c>
      <c r="N88" s="27">
        <f t="shared" si="2"/>
        <v>2074.6310999999941</v>
      </c>
      <c r="O88" s="28">
        <f>IF(O3&gt;0,N88/O3/12,0)</f>
        <v>5.2907348599677128E-4</v>
      </c>
    </row>
    <row r="89" spans="2:15" x14ac:dyDescent="0.3">
      <c r="B89" s="21">
        <v>48</v>
      </c>
      <c r="C89" s="22" t="s">
        <v>218</v>
      </c>
      <c r="D89" s="23" t="s">
        <v>219</v>
      </c>
      <c r="E89" s="23" t="s">
        <v>220</v>
      </c>
      <c r="F89" s="24">
        <v>38</v>
      </c>
      <c r="G89" s="25">
        <v>1</v>
      </c>
      <c r="H89" s="26">
        <f>F89 * G89 * 124.509165</f>
        <v>4731.3482699999995</v>
      </c>
      <c r="I89" s="26">
        <f>F89 * G89 * 79.691038</f>
        <v>3028.2594440000003</v>
      </c>
      <c r="J89" s="26">
        <f t="shared" si="3"/>
        <v>0</v>
      </c>
      <c r="K89" s="26">
        <f>F89 * G89 * 118.557627</f>
        <v>4505.1898259999998</v>
      </c>
      <c r="L89" s="26">
        <f>F89 * G89 * 36.678094</f>
        <v>1393.767572</v>
      </c>
      <c r="M89" s="26">
        <f>F89 * G89 * 24.901833</f>
        <v>946.26965399999995</v>
      </c>
      <c r="N89" s="27">
        <f t="shared" si="2"/>
        <v>14604.834766</v>
      </c>
      <c r="O89" s="28">
        <f>IF(O3&gt;0,N89/O3/12,0)</f>
        <v>3.7245324443726312E-3</v>
      </c>
    </row>
    <row r="90" spans="2:15" x14ac:dyDescent="0.3">
      <c r="B90" s="21">
        <v>49</v>
      </c>
      <c r="C90" s="22" t="s">
        <v>221</v>
      </c>
      <c r="D90" s="23" t="s">
        <v>222</v>
      </c>
      <c r="E90" s="23" t="s">
        <v>223</v>
      </c>
      <c r="F90" s="24">
        <v>40</v>
      </c>
      <c r="G90" s="25">
        <v>1</v>
      </c>
      <c r="H90" s="26">
        <f>F90 * G90 * 35.196448</f>
        <v>1407.8579199999999</v>
      </c>
      <c r="I90" s="26">
        <f>F90 * G90 * 96.759276</f>
        <v>3870.37104</v>
      </c>
      <c r="J90" s="26">
        <f t="shared" si="3"/>
        <v>0</v>
      </c>
      <c r="K90" s="26">
        <f>F90 * G90 * 33.514058</f>
        <v>1340.56232</v>
      </c>
      <c r="L90" s="26">
        <f>F90 * G90 * 18.199707</f>
        <v>727.98828000000003</v>
      </c>
      <c r="M90" s="26">
        <f>F90 * G90 * 7.03929</f>
        <v>281.57159999999999</v>
      </c>
      <c r="N90" s="27">
        <f t="shared" si="2"/>
        <v>7628.3511600000011</v>
      </c>
      <c r="O90" s="28">
        <f>IF(O3&gt;0,N90/O3/12,0)</f>
        <v>1.9453860209792118E-3</v>
      </c>
    </row>
    <row r="91" spans="2:15" x14ac:dyDescent="0.3">
      <c r="B91" s="21">
        <v>50</v>
      </c>
      <c r="C91" s="22" t="s">
        <v>224</v>
      </c>
      <c r="D91" s="23" t="s">
        <v>225</v>
      </c>
      <c r="E91" s="23" t="s">
        <v>226</v>
      </c>
      <c r="F91" s="24">
        <v>0.5</v>
      </c>
      <c r="G91" s="25">
        <v>1</v>
      </c>
      <c r="H91" s="26">
        <f>F91 * G91 * 25059.870691</f>
        <v>12529.9353455</v>
      </c>
      <c r="I91" s="26">
        <f>F91 * G91 * 104408.985171</f>
        <v>52204.492585499996</v>
      </c>
      <c r="J91" s="26">
        <f t="shared" si="3"/>
        <v>0</v>
      </c>
      <c r="K91" s="26">
        <f>F91 * G91 * 23862.008872</f>
        <v>11931.004435999999</v>
      </c>
      <c r="L91" s="26">
        <f>F91 * G91 * 16705.169501</f>
        <v>8352.5847505000002</v>
      </c>
      <c r="M91" s="26">
        <f>F91 * G91 * 5011.974138</f>
        <v>2505.9870689999998</v>
      </c>
      <c r="N91" s="27">
        <f t="shared" si="2"/>
        <v>87524.004186499995</v>
      </c>
      <c r="O91" s="28">
        <f>IF(O3&gt;0,N91/O3/12,0)</f>
        <v>2.232041638792925E-2</v>
      </c>
    </row>
    <row r="92" spans="2:15" x14ac:dyDescent="0.3">
      <c r="B92" s="21">
        <v>51</v>
      </c>
      <c r="C92" s="22" t="s">
        <v>227</v>
      </c>
      <c r="D92" s="23" t="s">
        <v>228</v>
      </c>
      <c r="E92" s="23" t="s">
        <v>226</v>
      </c>
      <c r="F92" s="24">
        <v>0.11</v>
      </c>
      <c r="G92" s="25">
        <v>1</v>
      </c>
      <c r="H92" s="26">
        <f>F92 * G92 * 17175.866429</f>
        <v>1889.3453071900001</v>
      </c>
      <c r="I92" s="26">
        <f>F92 * G92 * 60420.2672</f>
        <v>6646.2293920000002</v>
      </c>
      <c r="J92" s="26">
        <f t="shared" si="3"/>
        <v>0</v>
      </c>
      <c r="K92" s="26">
        <f>F92 * G92 * 16354.860014</f>
        <v>1799.03460154</v>
      </c>
      <c r="L92" s="26">
        <f>F92 * G92 * 10274.240611</f>
        <v>1130.1664672099998</v>
      </c>
      <c r="M92" s="26">
        <f>F92 * G92 * 3435.173286</f>
        <v>377.86906146000001</v>
      </c>
      <c r="N92" s="27">
        <f t="shared" si="2"/>
        <v>11842.6448294</v>
      </c>
      <c r="O92" s="28">
        <f>IF(O3&gt;0,N92/O3/12,0)</f>
        <v>3.0201173516160602E-3</v>
      </c>
    </row>
    <row r="93" spans="2:15" x14ac:dyDescent="0.3">
      <c r="B93" s="21">
        <v>52</v>
      </c>
      <c r="C93" s="22" t="s">
        <v>229</v>
      </c>
      <c r="D93" s="23" t="s">
        <v>230</v>
      </c>
      <c r="E93" s="23" t="s">
        <v>118</v>
      </c>
      <c r="F93" s="24">
        <v>2</v>
      </c>
      <c r="G93" s="25">
        <v>1</v>
      </c>
      <c r="H93" s="26">
        <f>F93 * G93 * 16785.08496</f>
        <v>33570.16992</v>
      </c>
      <c r="I93" s="26">
        <f>F93 * G93 * 2798.124701</f>
        <v>5596.2494020000004</v>
      </c>
      <c r="J93" s="26">
        <f t="shared" si="3"/>
        <v>0</v>
      </c>
      <c r="K93" s="26">
        <f>F93 * G93 * 15982.757899</f>
        <v>31965.515798</v>
      </c>
      <c r="L93" s="26">
        <f>F93 * G93 * 4106.37487</f>
        <v>8212.7497399999993</v>
      </c>
      <c r="M93" s="26">
        <f>F93 * G93 * 3357.016992</f>
        <v>6714.0339839999997</v>
      </c>
      <c r="N93" s="27">
        <f t="shared" si="2"/>
        <v>86058.718844000003</v>
      </c>
      <c r="O93" s="28">
        <f>IF(O3&gt;0,N93/O3/12,0)</f>
        <v>2.1946738569190077E-2</v>
      </c>
    </row>
    <row r="94" spans="2:15" ht="27.6" x14ac:dyDescent="0.3">
      <c r="B94" s="21">
        <v>53</v>
      </c>
      <c r="C94" s="22" t="s">
        <v>231</v>
      </c>
      <c r="D94" s="23" t="s">
        <v>232</v>
      </c>
      <c r="E94" s="23" t="s">
        <v>233</v>
      </c>
      <c r="F94" s="24">
        <v>10</v>
      </c>
      <c r="G94" s="25">
        <v>1</v>
      </c>
      <c r="H94" s="26">
        <f>F94 * G94 * 551.506769</f>
        <v>5515.0676899999999</v>
      </c>
      <c r="I94" s="26">
        <f>F94 * G94 * 1421.116365</f>
        <v>14211.16365</v>
      </c>
      <c r="J94" s="26">
        <f t="shared" si="3"/>
        <v>0</v>
      </c>
      <c r="K94" s="26">
        <f>F94 * G94 * 525.144745999999</f>
        <v>5251.4474599999903</v>
      </c>
      <c r="L94" s="26">
        <f>F94 * G94 * 275.151304</f>
        <v>2751.5130399999998</v>
      </c>
      <c r="M94" s="26">
        <f>F94 * G94 * 110.301354</f>
        <v>1103.0135399999999</v>
      </c>
      <c r="N94" s="27">
        <f t="shared" si="2"/>
        <v>28832.205379999985</v>
      </c>
      <c r="O94" s="28">
        <f>IF(O3&gt;0,N94/O3/12,0)</f>
        <v>7.3528037873198254E-3</v>
      </c>
    </row>
    <row r="95" spans="2:15" s="18" customFormat="1" ht="13.8" x14ac:dyDescent="0.3">
      <c r="B95" s="19"/>
      <c r="C95" s="20" t="s">
        <v>234</v>
      </c>
      <c r="D95" s="35" t="s">
        <v>235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</row>
    <row r="96" spans="2:15" x14ac:dyDescent="0.3">
      <c r="B96" s="21">
        <v>54</v>
      </c>
      <c r="C96" s="22" t="s">
        <v>236</v>
      </c>
      <c r="D96" s="23" t="s">
        <v>237</v>
      </c>
      <c r="E96" s="23" t="s">
        <v>238</v>
      </c>
      <c r="F96" s="24">
        <v>3</v>
      </c>
      <c r="G96" s="25">
        <v>1</v>
      </c>
      <c r="H96" s="26">
        <f>F96 * G96 * 2346.42984</f>
        <v>7039.2895199999994</v>
      </c>
      <c r="I96" s="26">
        <f>F96 * G96 * 748.992</f>
        <v>2246.9759999999997</v>
      </c>
      <c r="J96" s="26">
        <f t="shared" ref="J96:J102" si="4">F96 * G96 * 0</f>
        <v>0</v>
      </c>
      <c r="K96" s="26">
        <f>F96 * G96 * 2234.270494</f>
        <v>6702.8114819999992</v>
      </c>
      <c r="L96" s="26">
        <f>F96 * G96 * 611.792211</f>
        <v>1835.3766329999999</v>
      </c>
      <c r="M96" s="26">
        <f>F96 * G96 * 469.285968</f>
        <v>1407.857904</v>
      </c>
      <c r="N96" s="27">
        <f t="shared" ref="N96:N102" si="5">SUM(H96:M96)</f>
        <v>19232.311538999998</v>
      </c>
      <c r="O96" s="28">
        <f>IF(O3&gt;0,N96/O3/12,0)</f>
        <v>4.9046339417714727E-3</v>
      </c>
    </row>
    <row r="97" spans="2:15" ht="27.6" x14ac:dyDescent="0.3">
      <c r="B97" s="21">
        <v>55</v>
      </c>
      <c r="C97" s="22" t="s">
        <v>239</v>
      </c>
      <c r="D97" s="23" t="s">
        <v>240</v>
      </c>
      <c r="E97" s="23" t="s">
        <v>212</v>
      </c>
      <c r="F97" s="24">
        <v>5</v>
      </c>
      <c r="G97" s="25">
        <v>1</v>
      </c>
      <c r="H97" s="26">
        <f>F97 * G97 * 1165.61771</f>
        <v>5828.0885500000004</v>
      </c>
      <c r="I97" s="26">
        <f>F97 * G97 * 263.180824</f>
        <v>1315.9041199999999</v>
      </c>
      <c r="J97" s="26">
        <f t="shared" si="4"/>
        <v>0</v>
      </c>
      <c r="K97" s="26">
        <f>F97 * G97 * 1109.901184</f>
        <v>5549.5059200000005</v>
      </c>
      <c r="L97" s="26">
        <f>F97 * G97 * 292.427354</f>
        <v>1462.1367699999998</v>
      </c>
      <c r="M97" s="26">
        <f>F97 * G97 * 233.123542</f>
        <v>1165.61771</v>
      </c>
      <c r="N97" s="27">
        <f t="shared" si="5"/>
        <v>15321.253070000001</v>
      </c>
      <c r="O97" s="28">
        <f>IF(O3&gt;0,N97/O3/12,0)</f>
        <v>3.9072338072940567E-3</v>
      </c>
    </row>
    <row r="98" spans="2:15" x14ac:dyDescent="0.3">
      <c r="B98" s="21">
        <v>56</v>
      </c>
      <c r="C98" s="22" t="s">
        <v>241</v>
      </c>
      <c r="D98" s="23" t="s">
        <v>242</v>
      </c>
      <c r="E98" s="23" t="s">
        <v>243</v>
      </c>
      <c r="F98" s="24">
        <v>0.4</v>
      </c>
      <c r="G98" s="25">
        <v>1</v>
      </c>
      <c r="H98" s="26">
        <f>F98 * G98 * 3519.64476</f>
        <v>1407.8579040000002</v>
      </c>
      <c r="I98" s="26">
        <f>F98 * G98 * 8756.37072</f>
        <v>3502.5482880000004</v>
      </c>
      <c r="J98" s="26">
        <f t="shared" si="4"/>
        <v>0</v>
      </c>
      <c r="K98" s="26">
        <f>F98 * G98 * 3351.40574</f>
        <v>1340.5622960000001</v>
      </c>
      <c r="L98" s="26">
        <f>F98 * G98 * 1722.957443</f>
        <v>689.1829772000001</v>
      </c>
      <c r="M98" s="26">
        <f>F98 * G98 * 703.928952</f>
        <v>281.57158079999999</v>
      </c>
      <c r="N98" s="27">
        <f t="shared" si="5"/>
        <v>7221.723046000001</v>
      </c>
      <c r="O98" s="28">
        <f>IF(O3&gt;0,N98/O3/12,0)</f>
        <v>1.841687511023262E-3</v>
      </c>
    </row>
    <row r="99" spans="2:15" x14ac:dyDescent="0.3">
      <c r="B99" s="21">
        <v>57</v>
      </c>
      <c r="C99" s="22" t="s">
        <v>244</v>
      </c>
      <c r="D99" s="23" t="s">
        <v>245</v>
      </c>
      <c r="E99" s="23" t="s">
        <v>118</v>
      </c>
      <c r="F99" s="24">
        <v>2.5</v>
      </c>
      <c r="G99" s="25">
        <v>1</v>
      </c>
      <c r="H99" s="26">
        <f>F99 * G99 * 18196.800822</f>
        <v>45492.002055000004</v>
      </c>
      <c r="I99" s="26">
        <f>F99 * G99 * 2810.436515</f>
        <v>7026.0912874999995</v>
      </c>
      <c r="J99" s="26">
        <f t="shared" si="4"/>
        <v>0</v>
      </c>
      <c r="K99" s="26">
        <f>F99 * G99 * 17326.993742</f>
        <v>43317.484354999993</v>
      </c>
      <c r="L99" s="26">
        <f>F99 * G99 * 4428.213876</f>
        <v>11070.53469</v>
      </c>
      <c r="M99" s="26">
        <f>F99 * G99 * 3639.360164</f>
        <v>9098.4004100000002</v>
      </c>
      <c r="N99" s="27">
        <f t="shared" si="5"/>
        <v>116004.51279750001</v>
      </c>
      <c r="O99" s="28">
        <f>IF(O3&gt;0,N99/O3/12,0)</f>
        <v>2.9583530285037449E-2</v>
      </c>
    </row>
    <row r="100" spans="2:15" ht="27.6" x14ac:dyDescent="0.3">
      <c r="B100" s="21">
        <v>58</v>
      </c>
      <c r="C100" s="22" t="s">
        <v>246</v>
      </c>
      <c r="D100" s="23" t="s">
        <v>247</v>
      </c>
      <c r="E100" s="23" t="s">
        <v>248</v>
      </c>
      <c r="F100" s="24">
        <v>10</v>
      </c>
      <c r="G100" s="25">
        <v>1</v>
      </c>
      <c r="H100" s="26">
        <f>F100 * G100 * 1298.074268</f>
        <v>12980.742680000001</v>
      </c>
      <c r="I100" s="26">
        <f>F100 * G100 * 415.659861</f>
        <v>4156.59861</v>
      </c>
      <c r="J100" s="26">
        <f t="shared" si="4"/>
        <v>0</v>
      </c>
      <c r="K100" s="26">
        <f>F100 * G100 * 1236.026318</f>
        <v>12360.26318</v>
      </c>
      <c r="L100" s="26">
        <f>F100 * G100 * 338.589095</f>
        <v>3385.89095</v>
      </c>
      <c r="M100" s="26">
        <f>F100 * G100 * 259.614854</f>
        <v>2596.1485399999997</v>
      </c>
      <c r="N100" s="27">
        <f t="shared" si="5"/>
        <v>35479.643960000001</v>
      </c>
      <c r="O100" s="28">
        <f>IF(O3&gt;0,N100/O3/12,0)</f>
        <v>9.0480369796064192E-3</v>
      </c>
    </row>
    <row r="101" spans="2:15" ht="27.6" x14ac:dyDescent="0.3">
      <c r="B101" s="21">
        <v>59</v>
      </c>
      <c r="C101" s="22" t="s">
        <v>249</v>
      </c>
      <c r="D101" s="23" t="s">
        <v>250</v>
      </c>
      <c r="E101" s="23" t="s">
        <v>51</v>
      </c>
      <c r="F101" s="24">
        <v>15</v>
      </c>
      <c r="G101" s="25">
        <v>1</v>
      </c>
      <c r="H101" s="26">
        <f>F101 * G101 * 1311.319924</f>
        <v>19669.798859999999</v>
      </c>
      <c r="I101" s="26">
        <f>F101 * G101 * 4996.275811</f>
        <v>74944.137165000007</v>
      </c>
      <c r="J101" s="26">
        <f t="shared" si="4"/>
        <v>0</v>
      </c>
      <c r="K101" s="26">
        <f>F101 * G101 * 1248.638832</f>
        <v>18729.582480000001</v>
      </c>
      <c r="L101" s="26">
        <f>F101 * G101 * 824.851597</f>
        <v>12372.773954999999</v>
      </c>
      <c r="M101" s="26">
        <f>F101 * G101 * 262.263985</f>
        <v>3933.9597749999998</v>
      </c>
      <c r="N101" s="27">
        <f t="shared" si="5"/>
        <v>129650.25223499999</v>
      </c>
      <c r="O101" s="28">
        <f>IF(O3&gt;0,N101/O3/12,0)</f>
        <v>3.3063473747372396E-2</v>
      </c>
    </row>
    <row r="102" spans="2:15" ht="55.2" x14ac:dyDescent="0.3">
      <c r="B102" s="21">
        <v>60</v>
      </c>
      <c r="C102" s="22" t="s">
        <v>251</v>
      </c>
      <c r="D102" s="23" t="s">
        <v>252</v>
      </c>
      <c r="E102" s="23" t="s">
        <v>253</v>
      </c>
      <c r="F102" s="24">
        <v>1</v>
      </c>
      <c r="G102" s="25">
        <v>1</v>
      </c>
      <c r="H102" s="26">
        <f>F102 * G102 * 10765.420106</f>
        <v>10765.420106</v>
      </c>
      <c r="I102" s="26">
        <f>F102 * G102 * 51013.351879</f>
        <v>51013.351879000002</v>
      </c>
      <c r="J102" s="26">
        <f t="shared" si="4"/>
        <v>0</v>
      </c>
      <c r="K102" s="26">
        <f>F102 * G102 * 10250.833025</f>
        <v>10250.833025</v>
      </c>
      <c r="L102" s="26">
        <f>F102 * G102 * 7826.273693</f>
        <v>7826.2736930000001</v>
      </c>
      <c r="M102" s="26">
        <f>F102 * G102 * 2153.084021</f>
        <v>2153.0840210000001</v>
      </c>
      <c r="N102" s="27">
        <f t="shared" si="5"/>
        <v>82008.962723999997</v>
      </c>
      <c r="O102" s="28">
        <f>IF(O3&gt;0,N102/O3/12,0)</f>
        <v>2.0913967688697074E-2</v>
      </c>
    </row>
    <row r="103" spans="2:15" s="18" customFormat="1" ht="13.8" x14ac:dyDescent="0.3">
      <c r="B103" s="19"/>
      <c r="C103" s="20" t="s">
        <v>254</v>
      </c>
      <c r="D103" s="35" t="s">
        <v>255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</row>
    <row r="104" spans="2:15" ht="27.6" x14ac:dyDescent="0.3">
      <c r="B104" s="21">
        <v>61</v>
      </c>
      <c r="C104" s="22" t="s">
        <v>256</v>
      </c>
      <c r="D104" s="23" t="s">
        <v>257</v>
      </c>
      <c r="E104" s="23" t="s">
        <v>258</v>
      </c>
      <c r="F104" s="24">
        <v>1</v>
      </c>
      <c r="G104" s="25">
        <v>1</v>
      </c>
      <c r="H104" s="26">
        <f>F104 * G104 * 94520.452157</f>
        <v>94520.452157000007</v>
      </c>
      <c r="I104" s="26">
        <f>F104 * G104 * 18447.3872</f>
        <v>18447.387200000001</v>
      </c>
      <c r="J104" s="26">
        <f>F104 * G104 * 479.036268</f>
        <v>479.03626800000001</v>
      </c>
      <c r="K104" s="26">
        <f>F104 * G104 * 90586.915391</f>
        <v>90586.915391000002</v>
      </c>
      <c r="L104" s="26">
        <f>F104 * G104 * 23532.899457</f>
        <v>23532.899457</v>
      </c>
      <c r="M104" s="26">
        <f>F104 * G104 * 19026.867337</f>
        <v>19026.867337</v>
      </c>
      <c r="N104" s="27">
        <f>SUM(H104:M104)</f>
        <v>246593.55781</v>
      </c>
      <c r="O104" s="28">
        <f>IF(O3&gt;0,N104/O3/12,0)</f>
        <v>6.2886415447490115E-2</v>
      </c>
    </row>
    <row r="105" spans="2:15" ht="41.4" x14ac:dyDescent="0.3">
      <c r="B105" s="21">
        <v>62</v>
      </c>
      <c r="C105" s="22" t="s">
        <v>259</v>
      </c>
      <c r="D105" s="23" t="s">
        <v>260</v>
      </c>
      <c r="E105" s="23" t="s">
        <v>261</v>
      </c>
      <c r="F105" s="24">
        <v>0.6</v>
      </c>
      <c r="G105" s="25">
        <v>1</v>
      </c>
      <c r="H105" s="26">
        <f>F105 * G105 * 82736.093508</f>
        <v>49641.6561048</v>
      </c>
      <c r="I105" s="26">
        <f>F105 * G105 * 18447.3872</f>
        <v>11068.43232</v>
      </c>
      <c r="J105" s="26">
        <f>F105 * G105 * 10.35504</f>
        <v>6.2130239999999999</v>
      </c>
      <c r="K105" s="26">
        <f>F105 * G105 * 78781.308238</f>
        <v>47268.784942799997</v>
      </c>
      <c r="L105" s="26">
        <f>F105 * G105 * 20733.109263</f>
        <v>12439.865557799998</v>
      </c>
      <c r="M105" s="26">
        <f>F105 * G105 * 16547.218702</f>
        <v>9928.3312211999983</v>
      </c>
      <c r="N105" s="27">
        <f>SUM(H105:M105)</f>
        <v>130353.2831706</v>
      </c>
      <c r="O105" s="28">
        <f>IF(O3&gt;0,N105/O3/12,0)</f>
        <v>3.324276105674584E-2</v>
      </c>
    </row>
    <row r="106" spans="2:15" s="18" customFormat="1" ht="13.8" x14ac:dyDescent="0.3">
      <c r="B106" s="19"/>
      <c r="C106" s="20" t="s">
        <v>262</v>
      </c>
      <c r="D106" s="35" t="s">
        <v>263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</row>
    <row r="107" spans="2:15" ht="27.6" x14ac:dyDescent="0.3">
      <c r="B107" s="21">
        <v>63</v>
      </c>
      <c r="C107" s="22" t="s">
        <v>264</v>
      </c>
      <c r="D107" s="23" t="s">
        <v>265</v>
      </c>
      <c r="E107" s="23" t="s">
        <v>266</v>
      </c>
      <c r="F107" s="24">
        <v>0.2</v>
      </c>
      <c r="G107" s="25">
        <v>1</v>
      </c>
      <c r="H107" s="26">
        <f>F107 * G107 * 44399.511048</f>
        <v>8879.9022096000008</v>
      </c>
      <c r="I107" s="26">
        <f>F107 * G107 * 611450.234855</f>
        <v>122290.04697100002</v>
      </c>
      <c r="J107" s="26">
        <f>F107 * G107 * 3036.976173</f>
        <v>607.39523459999998</v>
      </c>
      <c r="K107" s="26">
        <f>F107 * G107 * 44506.381735</f>
        <v>8901.2763470000009</v>
      </c>
      <c r="L107" s="26">
        <f>F107 * G107 * 75194.198723</f>
        <v>15038.8397446</v>
      </c>
      <c r="M107" s="26">
        <f>F107 * G107 * 9348.116306</f>
        <v>1869.6232612000001</v>
      </c>
      <c r="N107" s="27">
        <f>SUM(H107:M107)</f>
        <v>157587.08376800004</v>
      </c>
      <c r="O107" s="28">
        <f>IF(O3&gt;0,N107/O3/12,0)</f>
        <v>4.0187938837512469E-2</v>
      </c>
    </row>
    <row r="108" spans="2:15" s="15" customFormat="1" ht="14.4" x14ac:dyDescent="0.3">
      <c r="B108" s="16"/>
      <c r="C108" s="17" t="s">
        <v>267</v>
      </c>
      <c r="D108" s="34" t="s">
        <v>268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2:15" s="18" customFormat="1" ht="13.8" x14ac:dyDescent="0.3">
      <c r="B109" s="19"/>
      <c r="C109" s="20" t="s">
        <v>269</v>
      </c>
      <c r="D109" s="35" t="s">
        <v>270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</row>
    <row r="110" spans="2:15" x14ac:dyDescent="0.3">
      <c r="B110" s="21">
        <v>64</v>
      </c>
      <c r="C110" s="22" t="s">
        <v>271</v>
      </c>
      <c r="D110" s="23" t="s">
        <v>272</v>
      </c>
      <c r="E110" s="23" t="s">
        <v>176</v>
      </c>
      <c r="F110" s="24">
        <v>0.2</v>
      </c>
      <c r="G110" s="25">
        <v>1</v>
      </c>
      <c r="H110" s="26">
        <f>F110 * G110 * 14078.57904</f>
        <v>2815.7158080000004</v>
      </c>
      <c r="I110" s="26">
        <f>F110 * G110 * 14656.085952</f>
        <v>2931.2171904000002</v>
      </c>
      <c r="J110" s="26">
        <f>F110 * G110 * 0</f>
        <v>0</v>
      </c>
      <c r="K110" s="26">
        <f>F110 * G110 * 13405.622962</f>
        <v>2681.1245924</v>
      </c>
      <c r="L110" s="26">
        <f>F110 * G110 * 4742.858397</f>
        <v>948.57167939999999</v>
      </c>
      <c r="M110" s="26">
        <f>F110 * G110 * 2815.715808</f>
        <v>563.14316159999998</v>
      </c>
      <c r="N110" s="27">
        <f>SUM(H110:M110)</f>
        <v>9939.7724318</v>
      </c>
      <c r="O110" s="28">
        <f>IF(O3&gt;0,N110/O3/12,0)</f>
        <v>2.5348458579007344E-3</v>
      </c>
    </row>
    <row r="111" spans="2:15" ht="27.6" x14ac:dyDescent="0.3">
      <c r="B111" s="21">
        <v>65</v>
      </c>
      <c r="C111" s="22" t="s">
        <v>273</v>
      </c>
      <c r="D111" s="23" t="s">
        <v>274</v>
      </c>
      <c r="E111" s="23" t="s">
        <v>275</v>
      </c>
      <c r="F111" s="24">
        <v>0.2</v>
      </c>
      <c r="G111" s="25">
        <v>1</v>
      </c>
      <c r="H111" s="26">
        <f>F111 * G111 * 5162.145648</f>
        <v>1032.4291295999999</v>
      </c>
      <c r="I111" s="26">
        <f>F111 * G111 * 3948.832088</f>
        <v>789.76641760000007</v>
      </c>
      <c r="J111" s="26">
        <f>F111 * G111 * 0</f>
        <v>0</v>
      </c>
      <c r="K111" s="26">
        <f>F111 * G111 * 4915.395086</f>
        <v>983.07901720000018</v>
      </c>
      <c r="L111" s="26">
        <f>F111 * G111 * 1588.703606</f>
        <v>317.74072120000005</v>
      </c>
      <c r="M111" s="26">
        <f>F111 * G111 * 1032.42913</f>
        <v>206.485826</v>
      </c>
      <c r="N111" s="27">
        <f>SUM(H111:M111)</f>
        <v>3329.5011116000005</v>
      </c>
      <c r="O111" s="28">
        <f>IF(O3&gt;0,N111/O3/12,0)</f>
        <v>8.4909107924986855E-4</v>
      </c>
    </row>
    <row r="112" spans="2:15" s="18" customFormat="1" ht="13.8" x14ac:dyDescent="0.3">
      <c r="B112" s="19"/>
      <c r="C112" s="20" t="s">
        <v>276</v>
      </c>
      <c r="D112" s="35" t="s">
        <v>277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</row>
    <row r="113" spans="2:15" s="18" customFormat="1" ht="13.8" x14ac:dyDescent="0.3">
      <c r="B113" s="19"/>
      <c r="C113" s="20" t="s">
        <v>278</v>
      </c>
      <c r="D113" s="32" t="s">
        <v>279</v>
      </c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2:15" x14ac:dyDescent="0.3">
      <c r="B114" s="21">
        <v>66</v>
      </c>
      <c r="C114" s="22" t="s">
        <v>280</v>
      </c>
      <c r="D114" s="23" t="s">
        <v>281</v>
      </c>
      <c r="E114" s="23" t="s">
        <v>173</v>
      </c>
      <c r="F114" s="24">
        <v>0.3</v>
      </c>
      <c r="G114" s="25">
        <v>1</v>
      </c>
      <c r="H114" s="26">
        <f>F114 * G114 * 12201.435168</f>
        <v>3660.4305503999999</v>
      </c>
      <c r="I114" s="26">
        <f>F114 * G114 * 46932.0431749999</f>
        <v>14079.6129525</v>
      </c>
      <c r="J114" s="26">
        <f>F114 * G114 * 0</f>
        <v>0</v>
      </c>
      <c r="K114" s="26">
        <f>F114 * G114 * 11618.206567</f>
        <v>3485.4619700999997</v>
      </c>
      <c r="L114" s="26">
        <f>F114 * G114 * 7721.75304</f>
        <v>2316.5259119999996</v>
      </c>
      <c r="M114" s="26">
        <f>F114 * G114 * 2440.287034</f>
        <v>732.08611020000001</v>
      </c>
      <c r="N114" s="27">
        <f>SUM(H114:M114)</f>
        <v>24274.117495200004</v>
      </c>
      <c r="O114" s="28">
        <f>IF(O3&gt;0,N114/O3/12,0)</f>
        <v>6.1903978797390605E-3</v>
      </c>
    </row>
    <row r="115" spans="2:15" x14ac:dyDescent="0.3">
      <c r="B115" s="21">
        <v>67</v>
      </c>
      <c r="C115" s="22" t="s">
        <v>282</v>
      </c>
      <c r="D115" s="23" t="s">
        <v>283</v>
      </c>
      <c r="E115" s="23" t="s">
        <v>173</v>
      </c>
      <c r="F115" s="24">
        <v>0.2</v>
      </c>
      <c r="G115" s="25">
        <v>1</v>
      </c>
      <c r="H115" s="26">
        <f>F115 * G115 * 6804.646536</f>
        <v>1360.9293072</v>
      </c>
      <c r="I115" s="26">
        <f>F115 * G115 * 8100.215</f>
        <v>1620.0430000000001</v>
      </c>
      <c r="J115" s="26">
        <f>F115 * G115 * 0</f>
        <v>0</v>
      </c>
      <c r="K115" s="26">
        <f>F115 * G115 * 6479.384431</f>
        <v>1295.8768862000002</v>
      </c>
      <c r="L115" s="26">
        <f>F115 * G115 * 2399.615991</f>
        <v>479.92319820000006</v>
      </c>
      <c r="M115" s="26">
        <f>F115 * G115 * 1360.929307</f>
        <v>272.18586140000002</v>
      </c>
      <c r="N115" s="27">
        <f>SUM(H115:M115)</f>
        <v>5028.9582530000007</v>
      </c>
      <c r="O115" s="28">
        <f>IF(O3&gt;0,N115/O3/12,0)</f>
        <v>1.2824875101153889E-3</v>
      </c>
    </row>
    <row r="116" spans="2:15" s="18" customFormat="1" ht="13.8" x14ac:dyDescent="0.3">
      <c r="B116" s="19"/>
      <c r="C116" s="20" t="s">
        <v>284</v>
      </c>
      <c r="D116" s="35" t="s">
        <v>285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</row>
    <row r="117" spans="2:15" ht="27.6" x14ac:dyDescent="0.3">
      <c r="B117" s="21">
        <v>68</v>
      </c>
      <c r="C117" s="22" t="s">
        <v>286</v>
      </c>
      <c r="D117" s="23" t="s">
        <v>287</v>
      </c>
      <c r="E117" s="23" t="s">
        <v>288</v>
      </c>
      <c r="F117" s="24">
        <v>0.1</v>
      </c>
      <c r="G117" s="25">
        <v>0.2</v>
      </c>
      <c r="H117" s="26">
        <f>F117 * G117 * 19560.767035</f>
        <v>391.21534070000007</v>
      </c>
      <c r="I117" s="26">
        <f>F117 * G117 * 1916.323999</f>
        <v>38.326479980000009</v>
      </c>
      <c r="J117" s="26">
        <f>F117 * G117 * 0</f>
        <v>0</v>
      </c>
      <c r="K117" s="26">
        <f>F117 * G117 * 18625.762371</f>
        <v>372.51524742000009</v>
      </c>
      <c r="L117" s="26">
        <f>F117 * G117 * 4643.583219</f>
        <v>92.871664380000027</v>
      </c>
      <c r="M117" s="26">
        <f>F117 * G117 * 3912.153407</f>
        <v>78.243068140000005</v>
      </c>
      <c r="N117" s="27">
        <f>SUM(H117:M117)</f>
        <v>973.17180062000023</v>
      </c>
      <c r="O117" s="28">
        <f>IF(O3&gt;0,N117/O3/12,0)</f>
        <v>2.481787711693803E-4</v>
      </c>
    </row>
    <row r="118" spans="2:15" s="18" customFormat="1" ht="13.8" x14ac:dyDescent="0.3">
      <c r="B118" s="19"/>
      <c r="C118" s="20" t="s">
        <v>289</v>
      </c>
      <c r="D118" s="35" t="s">
        <v>290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</row>
    <row r="119" spans="2:15" x14ac:dyDescent="0.3">
      <c r="B119" s="21">
        <v>69</v>
      </c>
      <c r="C119" s="22" t="s">
        <v>291</v>
      </c>
      <c r="D119" s="23" t="s">
        <v>292</v>
      </c>
      <c r="E119" s="23" t="s">
        <v>293</v>
      </c>
      <c r="F119" s="24">
        <v>0.3</v>
      </c>
      <c r="G119" s="25">
        <v>1</v>
      </c>
      <c r="H119" s="26">
        <f>F119 * G119 * 20621.675808</f>
        <v>6186.5027424</v>
      </c>
      <c r="I119" s="26">
        <f>F119 * G119 * 14818.93024</f>
        <v>4445.6790719999999</v>
      </c>
      <c r="J119" s="26">
        <f>F119 * G119 * 0</f>
        <v>0</v>
      </c>
      <c r="K119" s="26">
        <f>F119 * G119 * 19635.959704</f>
        <v>5890.7879112000001</v>
      </c>
      <c r="L119" s="26">
        <f>F119 * G119 * 6245.695047</f>
        <v>1873.7085141</v>
      </c>
      <c r="M119" s="26">
        <f>F119 * G119 * 4124.335162</f>
        <v>1237.3005486</v>
      </c>
      <c r="N119" s="27">
        <f>SUM(H119:M119)</f>
        <v>19633.978788299999</v>
      </c>
      <c r="O119" s="28">
        <f>IF(O3&gt;0,N119/O3/12,0)</f>
        <v>5.0070673294700784E-3</v>
      </c>
    </row>
    <row r="120" spans="2:15" s="18" customFormat="1" ht="13.8" x14ac:dyDescent="0.3">
      <c r="B120" s="19"/>
      <c r="C120" s="20" t="s">
        <v>294</v>
      </c>
      <c r="D120" s="35" t="s">
        <v>295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</row>
    <row r="121" spans="2:15" ht="27.6" x14ac:dyDescent="0.3">
      <c r="B121" s="21">
        <v>70</v>
      </c>
      <c r="C121" s="22" t="s">
        <v>296</v>
      </c>
      <c r="D121" s="23" t="s">
        <v>297</v>
      </c>
      <c r="E121" s="23" t="s">
        <v>86</v>
      </c>
      <c r="F121" s="24">
        <v>44</v>
      </c>
      <c r="G121" s="25">
        <v>0.2</v>
      </c>
      <c r="H121" s="26">
        <f>F121 * G121 * 9111.903264</f>
        <v>80184.748723200013</v>
      </c>
      <c r="I121" s="26">
        <f>F121 * G121 * 2383.34929</f>
        <v>20973.473752000002</v>
      </c>
      <c r="J121" s="26">
        <f>F121 * G121 * 0</f>
        <v>0</v>
      </c>
      <c r="K121" s="26">
        <f>F121 * G121 * 8676.354288</f>
        <v>76351.917734400005</v>
      </c>
      <c r="L121" s="26">
        <f>F121 * G121 * 2320.36568</f>
        <v>20419.217983999999</v>
      </c>
      <c r="M121" s="26">
        <f>F121 * G121 * 1822.380653</f>
        <v>16036.949746400001</v>
      </c>
      <c r="N121" s="27">
        <f>SUM(H121:M121)</f>
        <v>213966.30794000003</v>
      </c>
      <c r="O121" s="28">
        <f>IF(O3&gt;0,N121/O3/12,0)</f>
        <v>5.4565797470053717E-2</v>
      </c>
    </row>
    <row r="122" spans="2:15" x14ac:dyDescent="0.3">
      <c r="B122" s="21">
        <v>71</v>
      </c>
      <c r="C122" s="22" t="s">
        <v>298</v>
      </c>
      <c r="D122" s="23" t="s">
        <v>299</v>
      </c>
      <c r="E122" s="23" t="s">
        <v>300</v>
      </c>
      <c r="F122" s="24">
        <v>3.87</v>
      </c>
      <c r="G122" s="25">
        <v>1</v>
      </c>
      <c r="H122" s="26">
        <f>F122 * G122 * 2973.357907</f>
        <v>11506.89510009</v>
      </c>
      <c r="I122" s="26">
        <f>F122 * G122 * 501.604364</f>
        <v>1941.20888868</v>
      </c>
      <c r="J122" s="26">
        <f>F122 * G122 * 0</f>
        <v>0</v>
      </c>
      <c r="K122" s="26">
        <f>F122 * G122 * 2831.231399</f>
        <v>10956.865514129999</v>
      </c>
      <c r="L122" s="26">
        <f>F122 * G122 * 728.041284</f>
        <v>2817.5197690800001</v>
      </c>
      <c r="M122" s="26">
        <f>F122 * G122 * 594.671581</f>
        <v>2301.3790184699997</v>
      </c>
      <c r="N122" s="27">
        <f>SUM(H122:M122)</f>
        <v>29523.868290450002</v>
      </c>
      <c r="O122" s="28">
        <f>IF(O3&gt;0,N122/O3/12,0)</f>
        <v>7.529192017095454E-3</v>
      </c>
    </row>
    <row r="123" spans="2:15" s="15" customFormat="1" ht="14.4" x14ac:dyDescent="0.3">
      <c r="B123" s="16"/>
      <c r="C123" s="17" t="s">
        <v>301</v>
      </c>
      <c r="D123" s="34" t="s">
        <v>302</v>
      </c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</row>
    <row r="124" spans="2:15" s="18" customFormat="1" ht="13.8" x14ac:dyDescent="0.3">
      <c r="B124" s="19"/>
      <c r="C124" s="20" t="s">
        <v>303</v>
      </c>
      <c r="D124" s="35" t="s">
        <v>304</v>
      </c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</row>
    <row r="125" spans="2:15" s="18" customFormat="1" ht="13.8" x14ac:dyDescent="0.3">
      <c r="B125" s="19"/>
      <c r="C125" s="20" t="s">
        <v>305</v>
      </c>
      <c r="D125" s="32" t="s">
        <v>306</v>
      </c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2:15" ht="41.4" x14ac:dyDescent="0.3">
      <c r="B126" s="21">
        <v>72</v>
      </c>
      <c r="C126" s="22" t="s">
        <v>307</v>
      </c>
      <c r="D126" s="23" t="s">
        <v>308</v>
      </c>
      <c r="E126" s="23" t="s">
        <v>309</v>
      </c>
      <c r="F126" s="24">
        <v>0.5</v>
      </c>
      <c r="G126" s="25">
        <v>1</v>
      </c>
      <c r="H126" s="26">
        <f>F126 * G126 * 26616.349008</f>
        <v>13308.174504000001</v>
      </c>
      <c r="I126" s="26">
        <f>F126 * G126 * 28095.480761</f>
        <v>14047.740380499999</v>
      </c>
      <c r="J126" s="26">
        <f>F126 * G126 * 0</f>
        <v>0</v>
      </c>
      <c r="K126" s="26">
        <f>F126 * G126 * 25344.087525</f>
        <v>12672.0437625</v>
      </c>
      <c r="L126" s="26">
        <f>F126 * G126 * 9007.504238</f>
        <v>4503.7521189999998</v>
      </c>
      <c r="M126" s="26">
        <f>F126 * G126 * 5323.269802</f>
        <v>2661.6349009999999</v>
      </c>
      <c r="N126" s="27">
        <f>SUM(H126:M126)</f>
        <v>47193.345666999994</v>
      </c>
      <c r="O126" s="28">
        <f>IF(O3&gt;0,N126/O3/12,0)</f>
        <v>1.2035271190087904E-2</v>
      </c>
    </row>
    <row r="127" spans="2:15" s="18" customFormat="1" ht="13.8" x14ac:dyDescent="0.3">
      <c r="B127" s="19"/>
      <c r="C127" s="20" t="s">
        <v>310</v>
      </c>
      <c r="D127" s="35" t="s">
        <v>311</v>
      </c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</row>
    <row r="128" spans="2:15" s="18" customFormat="1" ht="13.8" x14ac:dyDescent="0.3">
      <c r="B128" s="19"/>
      <c r="C128" s="20" t="s">
        <v>312</v>
      </c>
      <c r="D128" s="32" t="s">
        <v>313</v>
      </c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2:15" ht="27.6" x14ac:dyDescent="0.3">
      <c r="B129" s="21">
        <v>73</v>
      </c>
      <c r="C129" s="22" t="s">
        <v>314</v>
      </c>
      <c r="D129" s="23" t="s">
        <v>315</v>
      </c>
      <c r="E129" s="23" t="s">
        <v>316</v>
      </c>
      <c r="F129" s="24">
        <v>0.2</v>
      </c>
      <c r="G129" s="25">
        <v>1</v>
      </c>
      <c r="H129" s="26">
        <f>F129 * G129 * 26376.56208</f>
        <v>5275.3124160000007</v>
      </c>
      <c r="I129" s="26">
        <f>F129 * G129 * 953367.223</f>
        <v>190673.44460000002</v>
      </c>
      <c r="J129" s="26">
        <f>F129 * G129 * 0</f>
        <v>0</v>
      </c>
      <c r="K129" s="26">
        <f>F129 * G129 * 25115.7624129999</f>
        <v>5023.1524825999804</v>
      </c>
      <c r="L129" s="26">
        <f>F129 * G129 * 106569.227721</f>
        <v>21313.845544200001</v>
      </c>
      <c r="M129" s="26">
        <f>F129 * G129 * 5275.312416</f>
        <v>1055.0624832000001</v>
      </c>
      <c r="N129" s="27">
        <f>SUM(H129:M129)</f>
        <v>223340.817526</v>
      </c>
      <c r="O129" s="28">
        <f>IF(O3&gt;0,N129/O3/12,0)</f>
        <v>5.6956489707423126E-2</v>
      </c>
    </row>
    <row r="130" spans="2:15" s="18" customFormat="1" ht="13.8" x14ac:dyDescent="0.3">
      <c r="B130" s="19"/>
      <c r="C130" s="20" t="s">
        <v>317</v>
      </c>
      <c r="D130" s="32" t="s">
        <v>318</v>
      </c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2:15" ht="27.6" x14ac:dyDescent="0.3">
      <c r="B131" s="21">
        <v>74</v>
      </c>
      <c r="C131" s="22" t="s">
        <v>319</v>
      </c>
      <c r="D131" s="23" t="s">
        <v>320</v>
      </c>
      <c r="E131" s="23" t="s">
        <v>321</v>
      </c>
      <c r="F131" s="24">
        <v>1</v>
      </c>
      <c r="G131" s="25">
        <v>1</v>
      </c>
      <c r="H131" s="26">
        <f>F131 * G131 * 68421.894134</f>
        <v>68421.894134000002</v>
      </c>
      <c r="I131" s="26">
        <f>F131 * G131 * 2436.11622</f>
        <v>2436.1162199999999</v>
      </c>
      <c r="J131" s="26">
        <f>F131 * G131 * 0</f>
        <v>0</v>
      </c>
      <c r="K131" s="26">
        <f>F131 * G131 * 65151.327594</f>
        <v>65151.327594000002</v>
      </c>
      <c r="L131" s="26">
        <f>F131 * G131 * 15792.68712</f>
        <v>15792.687120000001</v>
      </c>
      <c r="M131" s="26">
        <f>F131 * G131 * 13684.378827</f>
        <v>13684.378827</v>
      </c>
      <c r="N131" s="27">
        <f>SUM(H131:M131)</f>
        <v>165486.403895</v>
      </c>
      <c r="O131" s="28">
        <f>IF(O3&gt;0,N131/O3/12,0)</f>
        <v>4.2202427503278801E-2</v>
      </c>
    </row>
    <row r="132" spans="2:15" s="18" customFormat="1" ht="13.8" x14ac:dyDescent="0.3">
      <c r="B132" s="19"/>
      <c r="C132" s="20" t="s">
        <v>322</v>
      </c>
      <c r="D132" s="35" t="s">
        <v>323</v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</row>
    <row r="133" spans="2:15" s="18" customFormat="1" ht="13.8" x14ac:dyDescent="0.3">
      <c r="B133" s="19"/>
      <c r="C133" s="20" t="s">
        <v>324</v>
      </c>
      <c r="D133" s="32" t="s">
        <v>325</v>
      </c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2:15" ht="41.4" x14ac:dyDescent="0.3">
      <c r="B134" s="21">
        <v>75</v>
      </c>
      <c r="C134" s="22" t="s">
        <v>326</v>
      </c>
      <c r="D134" s="23" t="s">
        <v>327</v>
      </c>
      <c r="E134" s="23" t="s">
        <v>328</v>
      </c>
      <c r="F134" s="24">
        <v>40</v>
      </c>
      <c r="G134" s="25">
        <v>1</v>
      </c>
      <c r="H134" s="26">
        <f>F134 * G134 * 28980.090198</f>
        <v>1159203.6079200001</v>
      </c>
      <c r="I134" s="26">
        <f>F134 * G134 * 2358.048802</f>
        <v>94321.952079999988</v>
      </c>
      <c r="J134" s="26">
        <f>F134 * G134 * 0</f>
        <v>0</v>
      </c>
      <c r="K134" s="26">
        <f>F134 * G134 * 27594.841887</f>
        <v>1103793.67548</v>
      </c>
      <c r="L134" s="26">
        <f>F134 * G134 * 6828.909387</f>
        <v>273156.37547999999</v>
      </c>
      <c r="M134" s="26">
        <f>F134 * G134 * 5796.01804</f>
        <v>231840.72159999999</v>
      </c>
      <c r="N134" s="27">
        <f>SUM(H134:M134)</f>
        <v>2862316.33256</v>
      </c>
      <c r="O134" s="28">
        <f>IF(O3&gt;0,N134/O3/12,0)</f>
        <v>0.72994937755103395</v>
      </c>
    </row>
    <row r="135" spans="2:15" s="18" customFormat="1" ht="13.8" x14ac:dyDescent="0.3">
      <c r="B135" s="19"/>
      <c r="C135" s="20" t="s">
        <v>329</v>
      </c>
      <c r="D135" s="35" t="s">
        <v>330</v>
      </c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</row>
    <row r="136" spans="2:15" x14ac:dyDescent="0.3">
      <c r="B136" s="21">
        <v>76</v>
      </c>
      <c r="C136" s="22" t="s">
        <v>331</v>
      </c>
      <c r="D136" s="23" t="s">
        <v>332</v>
      </c>
      <c r="E136" s="23" t="s">
        <v>333</v>
      </c>
      <c r="F136" s="24">
        <v>5</v>
      </c>
      <c r="G136" s="25">
        <v>1</v>
      </c>
      <c r="H136" s="26">
        <f>F136 * G136 * 551.019281</f>
        <v>2755.0964049999998</v>
      </c>
      <c r="I136" s="26">
        <f>F136 * G136 * 38330.2368</f>
        <v>191651.18400000001</v>
      </c>
      <c r="J136" s="26">
        <f>F136 * G136 * 0</f>
        <v>0</v>
      </c>
      <c r="K136" s="26">
        <f>F136 * G136 * 524.68056</f>
        <v>2623.4027999999998</v>
      </c>
      <c r="L136" s="26">
        <f>F136 * G136 * 4168.952822</f>
        <v>20844.76411</v>
      </c>
      <c r="M136" s="26">
        <f>F136 * G136 * 110.203856</f>
        <v>551.01927999999998</v>
      </c>
      <c r="N136" s="27">
        <f>SUM(H136:M136)</f>
        <v>218425.46659500001</v>
      </c>
      <c r="O136" s="28">
        <f>IF(O3&gt;0,N136/O3/12,0)</f>
        <v>5.5702974394767478E-2</v>
      </c>
    </row>
    <row r="137" spans="2:15" x14ac:dyDescent="0.3">
      <c r="B137" s="21">
        <v>77</v>
      </c>
      <c r="C137" s="22" t="s">
        <v>334</v>
      </c>
      <c r="D137" s="23" t="s">
        <v>335</v>
      </c>
      <c r="E137" s="23" t="s">
        <v>333</v>
      </c>
      <c r="F137" s="24">
        <v>2</v>
      </c>
      <c r="G137" s="25">
        <v>1</v>
      </c>
      <c r="H137" s="26">
        <f>F137 * G137 * 670.230183</f>
        <v>1340.460366</v>
      </c>
      <c r="I137" s="26">
        <f>F137 * G137 * 116953</f>
        <v>233906</v>
      </c>
      <c r="J137" s="26">
        <f>F137 * G137 * 0</f>
        <v>0</v>
      </c>
      <c r="K137" s="26">
        <f>F137 * G137 * 638.19318</f>
        <v>1276.38636</v>
      </c>
      <c r="L137" s="26">
        <f>F137 * G137 * 12490.722022</f>
        <v>24981.444044</v>
      </c>
      <c r="M137" s="26">
        <f>F137 * G137 * 134.046037</f>
        <v>268.09207400000003</v>
      </c>
      <c r="N137" s="27">
        <f>SUM(H137:M137)</f>
        <v>261772.38284400001</v>
      </c>
      <c r="O137" s="28">
        <f>IF(O3&gt;0,N137/O3/12,0)</f>
        <v>6.6757327184074733E-2</v>
      </c>
    </row>
    <row r="138" spans="2:15" s="18" customFormat="1" ht="13.8" x14ac:dyDescent="0.3">
      <c r="B138" s="19"/>
      <c r="C138" s="20" t="s">
        <v>336</v>
      </c>
      <c r="D138" s="35" t="s">
        <v>337</v>
      </c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</row>
    <row r="139" spans="2:15" s="18" customFormat="1" ht="13.8" x14ac:dyDescent="0.3">
      <c r="B139" s="19"/>
      <c r="C139" s="20" t="s">
        <v>338</v>
      </c>
      <c r="D139" s="32" t="s">
        <v>339</v>
      </c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2:15" x14ac:dyDescent="0.3">
      <c r="B140" s="21">
        <v>78</v>
      </c>
      <c r="C140" s="22" t="s">
        <v>340</v>
      </c>
      <c r="D140" s="23" t="s">
        <v>341</v>
      </c>
      <c r="E140" s="23" t="s">
        <v>342</v>
      </c>
      <c r="F140" s="24">
        <v>0.19</v>
      </c>
      <c r="G140" s="25">
        <v>1</v>
      </c>
      <c r="H140" s="26">
        <f>F140 * G140 * 67140.33984</f>
        <v>12756.6645696</v>
      </c>
      <c r="I140" s="26">
        <f>F140 * G140 * 658824.192025</f>
        <v>125176.59648475</v>
      </c>
      <c r="J140" s="26">
        <f>F140 * G140 * 0</f>
        <v>0</v>
      </c>
      <c r="K140" s="26">
        <f>F140 * G140 * 63931.031596</f>
        <v>12146.896003240001</v>
      </c>
      <c r="L140" s="26">
        <f>F140 * G140 * 84750.643116</f>
        <v>16102.622192040002</v>
      </c>
      <c r="M140" s="26">
        <f>F140 * G140 * 13428.067968</f>
        <v>2551.33291392</v>
      </c>
      <c r="N140" s="27">
        <f>SUM(H140:M140)</f>
        <v>168734.11216354999</v>
      </c>
      <c r="O140" s="28">
        <f>IF(O3&gt;0,N140/O3/12,0)</f>
        <v>4.3030659729789957E-2</v>
      </c>
    </row>
    <row r="141" spans="2:15" s="18" customFormat="1" ht="13.8" x14ac:dyDescent="0.3">
      <c r="B141" s="19"/>
      <c r="C141" s="20" t="s">
        <v>343</v>
      </c>
      <c r="D141" s="32" t="s">
        <v>344</v>
      </c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2:15" x14ac:dyDescent="0.3">
      <c r="B142" s="21">
        <v>79</v>
      </c>
      <c r="C142" s="22" t="s">
        <v>345</v>
      </c>
      <c r="D142" s="23" t="s">
        <v>346</v>
      </c>
      <c r="E142" s="23" t="s">
        <v>347</v>
      </c>
      <c r="F142" s="24">
        <v>6</v>
      </c>
      <c r="G142" s="25">
        <v>1</v>
      </c>
      <c r="H142" s="26">
        <f>F142 * G142 * 13775.482032</f>
        <v>82652.892191999999</v>
      </c>
      <c r="I142" s="26">
        <f>F142 * G142 * 11728.348393</f>
        <v>70370.090358000001</v>
      </c>
      <c r="J142" s="26">
        <f>F142 * G142 * 0</f>
        <v>0</v>
      </c>
      <c r="K142" s="26">
        <f>F142 * G142 * 13117.013991</f>
        <v>78702.083945999999</v>
      </c>
      <c r="L142" s="26">
        <f>F142 * G142 * 4365.161757</f>
        <v>26190.970541999999</v>
      </c>
      <c r="M142" s="26">
        <f>F142 * G142 * 2755.096406</f>
        <v>16530.578436</v>
      </c>
      <c r="N142" s="27">
        <f>SUM(H142:M142)</f>
        <v>274446.61547399999</v>
      </c>
      <c r="O142" s="28">
        <f>IF(O3&gt;0,N142/O3/12,0)</f>
        <v>6.9989516482638764E-2</v>
      </c>
    </row>
    <row r="143" spans="2:15" s="18" customFormat="1" ht="13.8" x14ac:dyDescent="0.3">
      <c r="B143" s="19"/>
      <c r="C143" s="20" t="s">
        <v>348</v>
      </c>
      <c r="D143" s="32" t="s">
        <v>349</v>
      </c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2:15" ht="27.6" x14ac:dyDescent="0.3">
      <c r="B144" s="21">
        <v>80</v>
      </c>
      <c r="C144" s="22" t="s">
        <v>350</v>
      </c>
      <c r="D144" s="23" t="s">
        <v>351</v>
      </c>
      <c r="E144" s="23" t="s">
        <v>352</v>
      </c>
      <c r="F144" s="24">
        <v>0.7</v>
      </c>
      <c r="G144" s="25">
        <v>1</v>
      </c>
      <c r="H144" s="26">
        <f>F144 * G144 * 27475.5855</f>
        <v>19232.90985</v>
      </c>
      <c r="I144" s="26">
        <f>F144 * G144 * 38342.51368</f>
        <v>26839.759575999997</v>
      </c>
      <c r="J144" s="26">
        <f>F144 * G144 * 0</f>
        <v>0</v>
      </c>
      <c r="K144" s="26">
        <f>F144 * G144 * 26162.252513</f>
        <v>18313.576759099997</v>
      </c>
      <c r="L144" s="26">
        <f>F144 * G144 * 10283.661958</f>
        <v>7198.5633705999999</v>
      </c>
      <c r="M144" s="26">
        <f>F144 * G144 * 5495.1171</f>
        <v>3846.5819700000002</v>
      </c>
      <c r="N144" s="27">
        <f>SUM(H144:M144)</f>
        <v>75431.39152569999</v>
      </c>
      <c r="O144" s="28">
        <f>IF(O3&gt;0,N144/O3/12,0)</f>
        <v>1.9236552111886067E-2</v>
      </c>
    </row>
    <row r="145" spans="2:15" s="15" customFormat="1" ht="14.4" x14ac:dyDescent="0.3">
      <c r="B145" s="16"/>
      <c r="C145" s="17" t="s">
        <v>353</v>
      </c>
      <c r="D145" s="34" t="s">
        <v>354</v>
      </c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</row>
    <row r="146" spans="2:15" s="18" customFormat="1" ht="13.8" x14ac:dyDescent="0.3">
      <c r="B146" s="19"/>
      <c r="C146" s="20" t="s">
        <v>355</v>
      </c>
      <c r="D146" s="35" t="s">
        <v>356</v>
      </c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</row>
    <row r="147" spans="2:15" s="18" customFormat="1" ht="13.8" x14ac:dyDescent="0.3">
      <c r="B147" s="19"/>
      <c r="C147" s="20" t="s">
        <v>357</v>
      </c>
      <c r="D147" s="32" t="s">
        <v>358</v>
      </c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2:15" ht="41.4" x14ac:dyDescent="0.3">
      <c r="B148" s="21">
        <v>81</v>
      </c>
      <c r="C148" s="22" t="s">
        <v>359</v>
      </c>
      <c r="D148" s="23" t="s">
        <v>360</v>
      </c>
      <c r="E148" s="23" t="s">
        <v>361</v>
      </c>
      <c r="F148" s="24">
        <v>3.5</v>
      </c>
      <c r="G148" s="25">
        <v>1</v>
      </c>
      <c r="H148" s="26">
        <f>F148 * G148 * 20597.697115</f>
        <v>72091.939902500002</v>
      </c>
      <c r="I148" s="26">
        <f>F148 * G148 * 13675.092928</f>
        <v>47862.825248000001</v>
      </c>
      <c r="J148" s="26">
        <f>F148 * G148 * 0</f>
        <v>0</v>
      </c>
      <c r="K148" s="26">
        <f>F148 * G148 * 19613.127193</f>
        <v>68645.945175500005</v>
      </c>
      <c r="L148" s="26">
        <f>F148 * G148 * 6119.575677</f>
        <v>21418.514869499999</v>
      </c>
      <c r="M148" s="26">
        <f>F148 * G148 * 4119.539423</f>
        <v>14418.3879805</v>
      </c>
      <c r="N148" s="27">
        <f>SUM(H148:M148)</f>
        <v>224437.61317600001</v>
      </c>
      <c r="O148" s="28">
        <f>IF(O3&gt;0,N148/O3/12,0)</f>
        <v>5.723619509599636E-2</v>
      </c>
    </row>
    <row r="149" spans="2:15" ht="41.4" x14ac:dyDescent="0.3">
      <c r="B149" s="21">
        <v>82</v>
      </c>
      <c r="C149" s="22" t="s">
        <v>362</v>
      </c>
      <c r="D149" s="23" t="s">
        <v>363</v>
      </c>
      <c r="E149" s="23" t="s">
        <v>361</v>
      </c>
      <c r="F149" s="24">
        <v>0.4</v>
      </c>
      <c r="G149" s="25">
        <v>1</v>
      </c>
      <c r="H149" s="26">
        <f>F149 * G149 * 27695.390184</f>
        <v>11078.156073600001</v>
      </c>
      <c r="I149" s="26">
        <f>F149 * G149 * 28178.704394</f>
        <v>11271.4817576</v>
      </c>
      <c r="J149" s="26">
        <f>F149 * G149 * 0</f>
        <v>0</v>
      </c>
      <c r="K149" s="26">
        <f>F149 * G149 * 26371.550534</f>
        <v>10548.620213600001</v>
      </c>
      <c r="L149" s="26">
        <f>F149 * G149 * 9261.288292</f>
        <v>3704.5153167999997</v>
      </c>
      <c r="M149" s="26">
        <f>F149 * G149 * 5539.078037</f>
        <v>2215.6312148000002</v>
      </c>
      <c r="N149" s="27">
        <f>SUM(H149:M149)</f>
        <v>38818.404576400004</v>
      </c>
      <c r="O149" s="28">
        <f>IF(O3&gt;0,N149/O3/12,0)</f>
        <v>9.899489422514212E-3</v>
      </c>
    </row>
    <row r="150" spans="2:15" s="18" customFormat="1" ht="13.8" x14ac:dyDescent="0.3">
      <c r="B150" s="19"/>
      <c r="C150" s="20" t="s">
        <v>364</v>
      </c>
      <c r="D150" s="32" t="s">
        <v>365</v>
      </c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2:15" ht="41.4" x14ac:dyDescent="0.3">
      <c r="B151" s="21">
        <v>83</v>
      </c>
      <c r="C151" s="22" t="s">
        <v>366</v>
      </c>
      <c r="D151" s="23" t="s">
        <v>367</v>
      </c>
      <c r="E151" s="23" t="s">
        <v>293</v>
      </c>
      <c r="F151" s="24">
        <v>0.1</v>
      </c>
      <c r="G151" s="25">
        <v>1</v>
      </c>
      <c r="H151" s="26">
        <f>F151 * G151 * 8681.790408</f>
        <v>868.17904080000017</v>
      </c>
      <c r="I151" s="26">
        <f>F151 * G151 * 79691.153902</f>
        <v>7969.1153902000005</v>
      </c>
      <c r="J151" s="26">
        <f>F151 * G151 * 0</f>
        <v>0</v>
      </c>
      <c r="K151" s="26">
        <f>F151 * G151 * 8266.800826</f>
        <v>826.68008260000011</v>
      </c>
      <c r="L151" s="26">
        <f>F151 * G151 * 10378.6788889999</f>
        <v>1037.86788889999</v>
      </c>
      <c r="M151" s="26">
        <f>F151 * G151 * 1736.358082</f>
        <v>173.63580820000001</v>
      </c>
      <c r="N151" s="27">
        <f>SUM(H151:M151)</f>
        <v>10875.47821069999</v>
      </c>
      <c r="O151" s="28">
        <f>IF(O3&gt;0,N151/O3/12,0)</f>
        <v>2.7734700250164894E-3</v>
      </c>
    </row>
    <row r="152" spans="2:15" s="18" customFormat="1" ht="13.8" x14ac:dyDescent="0.3">
      <c r="B152" s="19"/>
      <c r="C152" s="20" t="s">
        <v>368</v>
      </c>
      <c r="D152" s="32" t="s">
        <v>369</v>
      </c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</row>
    <row r="153" spans="2:15" x14ac:dyDescent="0.3">
      <c r="B153" s="21">
        <v>84</v>
      </c>
      <c r="C153" s="22" t="s">
        <v>370</v>
      </c>
      <c r="D153" s="23" t="s">
        <v>371</v>
      </c>
      <c r="E153" s="23" t="s">
        <v>372</v>
      </c>
      <c r="F153" s="24">
        <v>0.3</v>
      </c>
      <c r="G153" s="25">
        <v>1</v>
      </c>
      <c r="H153" s="26">
        <f>F153 * G153 * 7603.006429</f>
        <v>2280.9019287000001</v>
      </c>
      <c r="I153" s="26">
        <f>F153 * G153 * 8045.929944</f>
        <v>2413.7789831999999</v>
      </c>
      <c r="J153" s="26">
        <f>F153 * G153 * 0</f>
        <v>0</v>
      </c>
      <c r="K153" s="26">
        <f>F153 * G153 * 7239.582722</f>
        <v>2171.8748166</v>
      </c>
      <c r="L153" s="26">
        <f>F153 * G153 * 2575.1622</f>
        <v>772.54866000000004</v>
      </c>
      <c r="M153" s="26">
        <f>F153 * G153 * 1520.601286</f>
        <v>456.18038580000001</v>
      </c>
      <c r="N153" s="27">
        <f>SUM(H153:M153)</f>
        <v>8095.2847743000002</v>
      </c>
      <c r="O153" s="28">
        <f>IF(O3&gt;0,N153/O3/12,0)</f>
        <v>2.0644636705173746E-3</v>
      </c>
    </row>
    <row r="154" spans="2:15" s="18" customFormat="1" ht="13.8" x14ac:dyDescent="0.3">
      <c r="B154" s="19"/>
      <c r="C154" s="20" t="s">
        <v>373</v>
      </c>
      <c r="D154" s="32" t="s">
        <v>374</v>
      </c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2:15" ht="41.4" x14ac:dyDescent="0.3">
      <c r="B155" s="21">
        <v>85</v>
      </c>
      <c r="C155" s="22" t="s">
        <v>375</v>
      </c>
      <c r="D155" s="23" t="s">
        <v>376</v>
      </c>
      <c r="E155" s="23" t="s">
        <v>377</v>
      </c>
      <c r="F155" s="24">
        <v>10</v>
      </c>
      <c r="G155" s="25">
        <v>1</v>
      </c>
      <c r="H155" s="26">
        <f>F155 * G155 * 30.503588</f>
        <v>305.03588000000002</v>
      </c>
      <c r="I155" s="26">
        <f>F155 * G155 * 2.642302</f>
        <v>26.423020000000001</v>
      </c>
      <c r="J155" s="26">
        <f>F155 * G155 * 0</f>
        <v>0</v>
      </c>
      <c r="K155" s="26">
        <f>F155 * G155 * 29.045516</f>
        <v>290.45515999999998</v>
      </c>
      <c r="L155" s="26">
        <f>F155 * G155 * 7.204819</f>
        <v>72.048189999999991</v>
      </c>
      <c r="M155" s="26">
        <f>F155 * G155 * 6.100718</f>
        <v>61.007179999999998</v>
      </c>
      <c r="N155" s="27">
        <f>SUM(H155:M155)</f>
        <v>754.96942999999999</v>
      </c>
      <c r="O155" s="28">
        <f>IF(O3&gt;0,N155/O3/12,0)</f>
        <v>1.9253269082445377E-4</v>
      </c>
    </row>
    <row r="156" spans="2:15" s="18" customFormat="1" ht="13.8" x14ac:dyDescent="0.3">
      <c r="B156" s="19"/>
      <c r="C156" s="20" t="s">
        <v>378</v>
      </c>
      <c r="D156" s="35" t="s">
        <v>379</v>
      </c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</row>
    <row r="157" spans="2:15" s="18" customFormat="1" ht="13.8" x14ac:dyDescent="0.3">
      <c r="B157" s="19"/>
      <c r="C157" s="20" t="s">
        <v>380</v>
      </c>
      <c r="D157" s="32" t="s">
        <v>381</v>
      </c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</row>
    <row r="158" spans="2:15" ht="27.6" x14ac:dyDescent="0.3">
      <c r="B158" s="21">
        <v>86</v>
      </c>
      <c r="C158" s="22" t="s">
        <v>382</v>
      </c>
      <c r="D158" s="23" t="s">
        <v>383</v>
      </c>
      <c r="E158" s="23" t="s">
        <v>384</v>
      </c>
      <c r="F158" s="24">
        <v>47</v>
      </c>
      <c r="G158" s="25">
        <v>12</v>
      </c>
      <c r="H158" s="26">
        <f>F158 * G158 * 222.527017</f>
        <v>125505.237588</v>
      </c>
      <c r="I158" s="26">
        <f>F158 * G158 * 0</f>
        <v>0</v>
      </c>
      <c r="J158" s="26">
        <f>F158 * G158 * 0</f>
        <v>0</v>
      </c>
      <c r="K158" s="26">
        <f>F158 * G158 * 211.890225999999</f>
        <v>119506.08746399943</v>
      </c>
      <c r="L158" s="26">
        <f>F158 * G158 * 50.526339</f>
        <v>28496.855196</v>
      </c>
      <c r="M158" s="26">
        <f>F158 * G158 * 44.505403</f>
        <v>25101.047291999999</v>
      </c>
      <c r="N158" s="27">
        <f>SUM(H158:M158)</f>
        <v>298609.22753999941</v>
      </c>
      <c r="O158" s="28">
        <f>IF(O3&gt;0,N158/O3/12,0)</f>
        <v>7.6151478190696648E-2</v>
      </c>
    </row>
    <row r="159" spans="2:15" ht="41.4" x14ac:dyDescent="0.3">
      <c r="B159" s="21">
        <v>87</v>
      </c>
      <c r="C159" s="22" t="s">
        <v>385</v>
      </c>
      <c r="D159" s="23" t="s">
        <v>386</v>
      </c>
      <c r="E159" s="23" t="s">
        <v>387</v>
      </c>
      <c r="F159" s="24">
        <v>38</v>
      </c>
      <c r="G159" s="25">
        <v>12</v>
      </c>
      <c r="H159" s="26">
        <f>F159 * G159 * 246.369198</f>
        <v>112344.354288</v>
      </c>
      <c r="I159" s="26">
        <f>F159 * G159 * 0</f>
        <v>0</v>
      </c>
      <c r="J159" s="26">
        <f>F159 * G159 * 0</f>
        <v>0</v>
      </c>
      <c r="K159" s="26">
        <f>F159 * G159 * 234.592751</f>
        <v>106974.294456</v>
      </c>
      <c r="L159" s="26">
        <f>F159 * G159 * 55.939876</f>
        <v>25508.583456</v>
      </c>
      <c r="M159" s="26">
        <f>F159 * G159 * 49.27384</f>
        <v>22468.871039999998</v>
      </c>
      <c r="N159" s="27">
        <f>SUM(H159:M159)</f>
        <v>267296.10323999997</v>
      </c>
      <c r="O159" s="28">
        <f>IF(O3&gt;0,N159/O3/12,0)</f>
        <v>6.8165989189374457E-2</v>
      </c>
    </row>
    <row r="160" spans="2:15" ht="27.6" x14ac:dyDescent="0.3">
      <c r="B160" s="21">
        <v>88</v>
      </c>
      <c r="C160" s="22" t="s">
        <v>388</v>
      </c>
      <c r="D160" s="23" t="s">
        <v>389</v>
      </c>
      <c r="E160" s="23" t="s">
        <v>390</v>
      </c>
      <c r="F160" s="24">
        <v>121</v>
      </c>
      <c r="G160" s="25">
        <v>1</v>
      </c>
      <c r="H160" s="26">
        <f>F160 * G160 * 1327.214711</f>
        <v>160592.98003100001</v>
      </c>
      <c r="I160" s="26">
        <f>F160 * G160 * 0</f>
        <v>0</v>
      </c>
      <c r="J160" s="26">
        <f>F160 * G160 * 0</f>
        <v>0</v>
      </c>
      <c r="K160" s="26">
        <f>F160 * G160 * 1263.773848</f>
        <v>152916.63560800001</v>
      </c>
      <c r="L160" s="26">
        <f>F160 * G160 * 301.353524</f>
        <v>36463.776403999997</v>
      </c>
      <c r="M160" s="26">
        <f>F160 * G160 * 265.442942</f>
        <v>32118.595982000003</v>
      </c>
      <c r="N160" s="27">
        <f>SUM(H160:M160)</f>
        <v>382091.98802500003</v>
      </c>
      <c r="O160" s="28">
        <f>IF(O3&gt;0,N160/O3/12,0)</f>
        <v>9.7441294539460002E-2</v>
      </c>
    </row>
    <row r="161" spans="2:15" ht="27.6" x14ac:dyDescent="0.3">
      <c r="B161" s="21">
        <v>89</v>
      </c>
      <c r="C161" s="22" t="s">
        <v>391</v>
      </c>
      <c r="D161" s="23" t="s">
        <v>392</v>
      </c>
      <c r="E161" s="23" t="s">
        <v>390</v>
      </c>
      <c r="F161" s="24">
        <v>55</v>
      </c>
      <c r="G161" s="25">
        <v>1</v>
      </c>
      <c r="H161" s="26">
        <f>F161 * G161 * 2768.342062</f>
        <v>152258.81341</v>
      </c>
      <c r="I161" s="26">
        <f>F161 * G161 * 0</f>
        <v>0</v>
      </c>
      <c r="J161" s="26">
        <f>F161 * G161 * 0</f>
        <v>0</v>
      </c>
      <c r="K161" s="26">
        <f>F161 * G161 * 2636.015311</f>
        <v>144980.84210500002</v>
      </c>
      <c r="L161" s="26">
        <f>F161 * G161 * 628.57172</f>
        <v>34571.444600000003</v>
      </c>
      <c r="M161" s="26">
        <f>F161 * G161 * 553.668412</f>
        <v>30451.76266</v>
      </c>
      <c r="N161" s="27">
        <f>SUM(H161:M161)</f>
        <v>362262.86277499999</v>
      </c>
      <c r="O161" s="28">
        <f>IF(O3&gt;0,N161/O3/12,0)</f>
        <v>9.238446085934976E-2</v>
      </c>
    </row>
    <row r="162" spans="2:15" s="18" customFormat="1" ht="13.8" x14ac:dyDescent="0.3">
      <c r="B162" s="19"/>
      <c r="C162" s="20" t="s">
        <v>393</v>
      </c>
      <c r="D162" s="32" t="s">
        <v>394</v>
      </c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</row>
    <row r="163" spans="2:15" x14ac:dyDescent="0.3">
      <c r="B163" s="21">
        <v>90</v>
      </c>
      <c r="C163" s="22" t="s">
        <v>395</v>
      </c>
      <c r="D163" s="23" t="s">
        <v>396</v>
      </c>
      <c r="E163" s="23" t="s">
        <v>397</v>
      </c>
      <c r="F163" s="24">
        <v>3</v>
      </c>
      <c r="G163" s="25">
        <v>1</v>
      </c>
      <c r="H163" s="26">
        <f>F163 * G163 * 1820.720742</f>
        <v>5462.1622260000004</v>
      </c>
      <c r="I163" s="26">
        <f>F163 * G163 * 8879.8886</f>
        <v>26639.665800000002</v>
      </c>
      <c r="J163" s="26">
        <f>F163 * G163 * 0</f>
        <v>0</v>
      </c>
      <c r="K163" s="26">
        <f>F163 * G163 * 1733.69029</f>
        <v>5201.0708699999996</v>
      </c>
      <c r="L163" s="26">
        <f>F163 * G163 * 1350.235819</f>
        <v>4050.707457</v>
      </c>
      <c r="M163" s="26">
        <f>F163 * G163 * 364.144148</f>
        <v>1092.432444</v>
      </c>
      <c r="N163" s="27">
        <f>SUM(H163:M163)</f>
        <v>42446.038796999994</v>
      </c>
      <c r="O163" s="28">
        <f>IF(O3&gt;0,N163/O3/12,0)</f>
        <v>1.0824610559960779E-2</v>
      </c>
    </row>
    <row r="164" spans="2:15" ht="27.6" x14ac:dyDescent="0.3">
      <c r="B164" s="21">
        <v>91</v>
      </c>
      <c r="C164" s="22" t="s">
        <v>398</v>
      </c>
      <c r="D164" s="23" t="s">
        <v>399</v>
      </c>
      <c r="E164" s="23" t="s">
        <v>400</v>
      </c>
      <c r="F164" s="24">
        <v>3</v>
      </c>
      <c r="G164" s="25">
        <v>1</v>
      </c>
      <c r="H164" s="26">
        <f>F164 * G164 * 22240.534338</f>
        <v>66721.603014000008</v>
      </c>
      <c r="I164" s="26">
        <f>F164 * G164 * 172358.302259</f>
        <v>517074.90677699994</v>
      </c>
      <c r="J164" s="26">
        <f>F164 * G164 * 0</f>
        <v>0</v>
      </c>
      <c r="K164" s="26">
        <f>F164 * G164 * 21177.436797</f>
        <v>63532.310390999992</v>
      </c>
      <c r="L164" s="26">
        <f>F164 * G164 * 23233.672117</f>
        <v>69701.016350999998</v>
      </c>
      <c r="M164" s="26">
        <f>F164 * G164 * 4448.106868</f>
        <v>13344.320604</v>
      </c>
      <c r="N164" s="27">
        <f>SUM(H164:M164)</f>
        <v>730374.157137</v>
      </c>
      <c r="O164" s="28">
        <f>IF(O3&gt;0,N164/O3/12,0)</f>
        <v>0.1862603917382841</v>
      </c>
    </row>
    <row r="165" spans="2:15" s="18" customFormat="1" ht="13.8" x14ac:dyDescent="0.3">
      <c r="B165" s="19"/>
      <c r="C165" s="20" t="s">
        <v>401</v>
      </c>
      <c r="D165" s="35" t="s">
        <v>402</v>
      </c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</row>
    <row r="166" spans="2:15" ht="27.6" x14ac:dyDescent="0.3">
      <c r="B166" s="21">
        <v>92</v>
      </c>
      <c r="C166" s="22" t="s">
        <v>403</v>
      </c>
      <c r="D166" s="23" t="s">
        <v>404</v>
      </c>
      <c r="E166" s="23" t="s">
        <v>33</v>
      </c>
      <c r="F166" s="24">
        <v>5</v>
      </c>
      <c r="G166" s="25">
        <v>1</v>
      </c>
      <c r="H166" s="26">
        <f>F166 * G166 * 20232.02205</f>
        <v>101160.11025</v>
      </c>
      <c r="I166" s="26">
        <f>F166 * G166 * 24783.680375</f>
        <v>123918.401875</v>
      </c>
      <c r="J166" s="26">
        <f>F166 * G166 * 0</f>
        <v>0</v>
      </c>
      <c r="K166" s="26">
        <f>F166 * G166 * 19264.931397</f>
        <v>96324.656985000009</v>
      </c>
      <c r="L166" s="26">
        <f>F166 * G166 * 7208.502533</f>
        <v>36042.512665000002</v>
      </c>
      <c r="M166" s="26">
        <f>F166 * G166 * 4046.40441</f>
        <v>20232.02205</v>
      </c>
      <c r="N166" s="27">
        <f>SUM(H166:M166)</f>
        <v>377677.70382499998</v>
      </c>
      <c r="O166" s="28">
        <f>IF(O3&gt;0,N166/O3/12,0)</f>
        <v>9.6315561521250412E-2</v>
      </c>
    </row>
    <row r="167" spans="2:15" x14ac:dyDescent="0.3">
      <c r="B167" s="21">
        <v>93</v>
      </c>
      <c r="C167" s="22" t="s">
        <v>405</v>
      </c>
      <c r="D167" s="23" t="s">
        <v>406</v>
      </c>
      <c r="E167" s="23" t="s">
        <v>33</v>
      </c>
      <c r="F167" s="24">
        <v>0.2</v>
      </c>
      <c r="G167" s="25">
        <v>1</v>
      </c>
      <c r="H167" s="26">
        <f>F167 * G167 * 105406.3371</f>
        <v>21081.267420000004</v>
      </c>
      <c r="I167" s="26">
        <f>F167 * G167 * 680154.927586</f>
        <v>136030.9855172</v>
      </c>
      <c r="J167" s="26">
        <f>F167 * G167 * 0</f>
        <v>0</v>
      </c>
      <c r="K167" s="26">
        <f>F167 * G167 * 100367.914186999</f>
        <v>20073.582837399801</v>
      </c>
      <c r="L167" s="26">
        <f>F167 * G167 * 95689.6020829999</f>
        <v>19137.92041659998</v>
      </c>
      <c r="M167" s="26">
        <f>F167 * G167 * 21081.26742</f>
        <v>4216.2534839999998</v>
      </c>
      <c r="N167" s="27">
        <f>SUM(H167:M167)</f>
        <v>200540.00967519978</v>
      </c>
      <c r="O167" s="28">
        <f>IF(O3&gt;0,N167/O3/12,0)</f>
        <v>5.1141816008004735E-2</v>
      </c>
    </row>
    <row r="168" spans="2:15" s="15" customFormat="1" ht="14.4" x14ac:dyDescent="0.3">
      <c r="B168" s="16"/>
      <c r="C168" s="17" t="s">
        <v>407</v>
      </c>
      <c r="D168" s="34" t="s">
        <v>408</v>
      </c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</row>
    <row r="169" spans="2:15" s="18" customFormat="1" ht="13.8" x14ac:dyDescent="0.3">
      <c r="B169" s="19"/>
      <c r="C169" s="20" t="s">
        <v>409</v>
      </c>
      <c r="D169" s="35" t="s">
        <v>410</v>
      </c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</row>
    <row r="170" spans="2:15" ht="41.4" x14ac:dyDescent="0.3">
      <c r="B170" s="21">
        <v>94</v>
      </c>
      <c r="C170" s="22" t="s">
        <v>411</v>
      </c>
      <c r="D170" s="23" t="s">
        <v>412</v>
      </c>
      <c r="E170" s="23" t="s">
        <v>361</v>
      </c>
      <c r="F170" s="24">
        <v>7</v>
      </c>
      <c r="G170" s="25">
        <v>1</v>
      </c>
      <c r="H170" s="26">
        <f>F170 * G170 * 16704.28547</f>
        <v>116929.99828999999</v>
      </c>
      <c r="I170" s="26">
        <f>F170 * G170 * 56506.154294</f>
        <v>395543.08005799999</v>
      </c>
      <c r="J170" s="26">
        <f>F170 * G170 * 0</f>
        <v>0</v>
      </c>
      <c r="K170" s="26">
        <f>F170 * G170 * 15905.820624</f>
        <v>111340.744368</v>
      </c>
      <c r="L170" s="26">
        <f>F170 * G170 * 9754.225894</f>
        <v>68279.581257999991</v>
      </c>
      <c r="M170" s="26">
        <f>F170 * G170 * 3340.857094</f>
        <v>23385.999658000001</v>
      </c>
      <c r="N170" s="27">
        <f>SUM(H170:M170)</f>
        <v>715479.40363199986</v>
      </c>
      <c r="O170" s="28">
        <f>IF(O3&gt;0,N170/O3/12,0)</f>
        <v>0.18246192406856052</v>
      </c>
    </row>
    <row r="171" spans="2:15" ht="41.4" x14ac:dyDescent="0.3">
      <c r="B171" s="21">
        <v>95</v>
      </c>
      <c r="C171" s="22" t="s">
        <v>413</v>
      </c>
      <c r="D171" s="23" t="s">
        <v>414</v>
      </c>
      <c r="E171" s="23" t="s">
        <v>361</v>
      </c>
      <c r="F171" s="24">
        <v>2</v>
      </c>
      <c r="G171" s="25">
        <v>1</v>
      </c>
      <c r="H171" s="26">
        <f>F171 * G171 * 16704.28547</f>
        <v>33408.570939999998</v>
      </c>
      <c r="I171" s="26">
        <f>F171 * G171 * 56506.154294</f>
        <v>113012.308588</v>
      </c>
      <c r="J171" s="26">
        <f>F171 * G171 * 0</f>
        <v>0</v>
      </c>
      <c r="K171" s="26">
        <f>F171 * G171 * 15905.820624</f>
        <v>31811.641248</v>
      </c>
      <c r="L171" s="26">
        <f>F171 * G171 * 9754.225894</f>
        <v>19508.451787999998</v>
      </c>
      <c r="M171" s="26">
        <f>F171 * G171 * 3340.857094</f>
        <v>6681.7141879999999</v>
      </c>
      <c r="N171" s="27">
        <f>SUM(H171:M171)</f>
        <v>204422.68675200001</v>
      </c>
      <c r="O171" s="28">
        <f>IF(O3&gt;0,N171/O3/12,0)</f>
        <v>5.2131978305303021E-2</v>
      </c>
    </row>
    <row r="172" spans="2:15" s="18" customFormat="1" ht="13.8" x14ac:dyDescent="0.3">
      <c r="B172" s="19"/>
      <c r="C172" s="20" t="s">
        <v>415</v>
      </c>
      <c r="D172" s="35" t="s">
        <v>416</v>
      </c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</row>
    <row r="173" spans="2:15" s="18" customFormat="1" ht="13.8" x14ac:dyDescent="0.3">
      <c r="B173" s="19"/>
      <c r="C173" s="20" t="s">
        <v>417</v>
      </c>
      <c r="D173" s="32" t="s">
        <v>418</v>
      </c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</row>
    <row r="174" spans="2:15" ht="27.6" x14ac:dyDescent="0.3">
      <c r="B174" s="21">
        <v>96</v>
      </c>
      <c r="C174" s="22" t="s">
        <v>419</v>
      </c>
      <c r="D174" s="23" t="s">
        <v>420</v>
      </c>
      <c r="E174" s="23" t="s">
        <v>421</v>
      </c>
      <c r="F174" s="24">
        <v>1</v>
      </c>
      <c r="G174" s="25">
        <v>1</v>
      </c>
      <c r="H174" s="26">
        <f>F174 * G174 * 13609.293072</f>
        <v>13609.293072</v>
      </c>
      <c r="I174" s="26">
        <f>F174 * G174 * 3488.120894</f>
        <v>3488.1208940000001</v>
      </c>
      <c r="J174" s="26">
        <f>F174 * G174 * 0</f>
        <v>0</v>
      </c>
      <c r="K174" s="26">
        <f>F174 * G174 * 12958.768863</f>
        <v>12958.768862999999</v>
      </c>
      <c r="L174" s="26">
        <f>F174 * G174 * 3458.083372</f>
        <v>3458.0833720000001</v>
      </c>
      <c r="M174" s="26">
        <f>F174 * G174 * 2721.858614</f>
        <v>2721.8586140000002</v>
      </c>
      <c r="N174" s="27">
        <f>SUM(H174:M174)</f>
        <v>36236.124814999996</v>
      </c>
      <c r="O174" s="28">
        <f>IF(O3&gt;0,N174/O3/12,0)</f>
        <v>9.2409551148087046E-3</v>
      </c>
    </row>
    <row r="175" spans="2:15" ht="27.6" x14ac:dyDescent="0.3">
      <c r="B175" s="21">
        <v>97</v>
      </c>
      <c r="C175" s="22" t="s">
        <v>422</v>
      </c>
      <c r="D175" s="23" t="s">
        <v>423</v>
      </c>
      <c r="E175" s="23" t="s">
        <v>181</v>
      </c>
      <c r="F175" s="24">
        <v>20</v>
      </c>
      <c r="G175" s="25">
        <v>1</v>
      </c>
      <c r="H175" s="26">
        <f>F175 * G175 * 2369.894138</f>
        <v>47397.88276</v>
      </c>
      <c r="I175" s="26">
        <f>F175 * G175 * 1024.072096</f>
        <v>20481.441920000001</v>
      </c>
      <c r="J175" s="26">
        <f>F175 * G175 * 0</f>
        <v>0</v>
      </c>
      <c r="K175" s="26">
        <f>F175 * G175 * 2256.613199</f>
        <v>45132.263979999996</v>
      </c>
      <c r="L175" s="26">
        <f>F175 * G175 * 646.140896</f>
        <v>12922.81792</v>
      </c>
      <c r="M175" s="26">
        <f>F175 * G175 * 473.978828</f>
        <v>9479.5765600000013</v>
      </c>
      <c r="N175" s="27">
        <f>SUM(H175:M175)</f>
        <v>135413.98314000003</v>
      </c>
      <c r="O175" s="28">
        <f>IF(O3&gt;0,N175/O3/12,0)</f>
        <v>3.4533343355639477E-2</v>
      </c>
    </row>
    <row r="176" spans="2:15" ht="27.6" x14ac:dyDescent="0.3">
      <c r="B176" s="21">
        <v>98</v>
      </c>
      <c r="C176" s="22" t="s">
        <v>424</v>
      </c>
      <c r="D176" s="23" t="s">
        <v>425</v>
      </c>
      <c r="E176" s="23" t="s">
        <v>426</v>
      </c>
      <c r="F176" s="24">
        <v>0.05</v>
      </c>
      <c r="G176" s="25">
        <v>1</v>
      </c>
      <c r="H176" s="26">
        <f>F176 * G176 * 7273.932504</f>
        <v>363.69662520000003</v>
      </c>
      <c r="I176" s="26">
        <f>F176 * G176 * 64853.41812</f>
        <v>3242.6709060000003</v>
      </c>
      <c r="J176" s="26">
        <f>F176 * G176 * 0</f>
        <v>0</v>
      </c>
      <c r="K176" s="26">
        <f>F176 * G176 * 6926.238531</f>
        <v>346.31192655000001</v>
      </c>
      <c r="L176" s="26">
        <f>F176 * G176 * 8493.633631</f>
        <v>424.68168155000006</v>
      </c>
      <c r="M176" s="26">
        <f>F176 * G176 * 1454.786501</f>
        <v>72.739325050000005</v>
      </c>
      <c r="N176" s="27">
        <f>SUM(H176:M176)</f>
        <v>4450.10046435</v>
      </c>
      <c r="O176" s="28">
        <f>IF(O3&gt;0,N176/O3/12,0)</f>
        <v>1.1348669002935084E-3</v>
      </c>
    </row>
    <row r="177" spans="2:15" s="15" customFormat="1" ht="14.4" x14ac:dyDescent="0.3">
      <c r="B177" s="16"/>
      <c r="C177" s="17" t="s">
        <v>427</v>
      </c>
      <c r="D177" s="34" t="s">
        <v>428</v>
      </c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</row>
    <row r="178" spans="2:15" s="18" customFormat="1" ht="13.8" x14ac:dyDescent="0.3">
      <c r="B178" s="19"/>
      <c r="C178" s="20" t="s">
        <v>429</v>
      </c>
      <c r="D178" s="35" t="s">
        <v>430</v>
      </c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</row>
    <row r="179" spans="2:15" s="18" customFormat="1" ht="13.8" x14ac:dyDescent="0.3">
      <c r="B179" s="19"/>
      <c r="C179" s="20" t="s">
        <v>431</v>
      </c>
      <c r="D179" s="32" t="s">
        <v>432</v>
      </c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2:15" ht="27.6" x14ac:dyDescent="0.3">
      <c r="B180" s="21">
        <v>99</v>
      </c>
      <c r="C180" s="22" t="s">
        <v>433</v>
      </c>
      <c r="D180" s="23" t="s">
        <v>434</v>
      </c>
      <c r="E180" s="23" t="s">
        <v>435</v>
      </c>
      <c r="F180" s="24">
        <v>1</v>
      </c>
      <c r="G180" s="25">
        <v>1</v>
      </c>
      <c r="H180" s="26">
        <f>F180 * G180 * 781.78848</f>
        <v>781.78848000000005</v>
      </c>
      <c r="I180" s="26">
        <f>F180 * G180 * 420.679123</f>
        <v>420.679123</v>
      </c>
      <c r="J180" s="26">
        <f>F180 * G180 * 0</f>
        <v>0</v>
      </c>
      <c r="K180" s="26">
        <f>F180 * G180 * 744.418991</f>
        <v>744.41899100000001</v>
      </c>
      <c r="L180" s="26">
        <f>F180 * G180 * 221.892272</f>
        <v>221.89227199999999</v>
      </c>
      <c r="M180" s="26">
        <f>F180 * G180 * 156.357696</f>
        <v>156.357696</v>
      </c>
      <c r="N180" s="27">
        <f>SUM(H180:M180)</f>
        <v>2325.1365620000001</v>
      </c>
      <c r="O180" s="28">
        <f>IF(O3&gt;0,N180/O3/12,0)</f>
        <v>5.9295751725494295E-4</v>
      </c>
    </row>
    <row r="181" spans="2:15" ht="27.6" x14ac:dyDescent="0.3">
      <c r="B181" s="21">
        <v>100</v>
      </c>
      <c r="C181" s="22" t="s">
        <v>436</v>
      </c>
      <c r="D181" s="23" t="s">
        <v>437</v>
      </c>
      <c r="E181" s="23" t="s">
        <v>435</v>
      </c>
      <c r="F181" s="24">
        <v>313.58</v>
      </c>
      <c r="G181" s="25">
        <v>1</v>
      </c>
      <c r="H181" s="26">
        <f>F181 * G181 * 1415.306731</f>
        <v>443811.88470697997</v>
      </c>
      <c r="I181" s="26">
        <f>F181 * G181 * 629.568754</f>
        <v>197420.16987931999</v>
      </c>
      <c r="J181" s="26">
        <f>F181 * G181 * 0</f>
        <v>0</v>
      </c>
      <c r="K181" s="26">
        <f>F181 * G181 * 1347.655069</f>
        <v>422597.67653701996</v>
      </c>
      <c r="L181" s="26">
        <f>F181 * G181 * 387.774946</f>
        <v>121598.46756667999</v>
      </c>
      <c r="M181" s="26">
        <f>F181 * G181 * 283.061346</f>
        <v>88762.376878680006</v>
      </c>
      <c r="N181" s="27">
        <f>SUM(H181:M181)</f>
        <v>1274190.5755686797</v>
      </c>
      <c r="O181" s="28">
        <f>IF(O3&gt;0,N181/O3/12,0)</f>
        <v>0.32494473337469759</v>
      </c>
    </row>
    <row r="182" spans="2:15" ht="27.6" x14ac:dyDescent="0.3">
      <c r="B182" s="21">
        <v>101</v>
      </c>
      <c r="C182" s="22" t="s">
        <v>438</v>
      </c>
      <c r="D182" s="23" t="s">
        <v>439</v>
      </c>
      <c r="E182" s="23" t="s">
        <v>440</v>
      </c>
      <c r="F182" s="24">
        <v>1</v>
      </c>
      <c r="G182" s="25">
        <v>1</v>
      </c>
      <c r="H182" s="26">
        <f>F182 * G182 * 197.693639</f>
        <v>197.69363899999999</v>
      </c>
      <c r="I182" s="26">
        <f>F182 * G182 * 0</f>
        <v>0</v>
      </c>
      <c r="J182" s="26">
        <f>F182 * G182 * 0</f>
        <v>0</v>
      </c>
      <c r="K182" s="26">
        <f>F182 * G182 * 188.243883</f>
        <v>188.24388300000001</v>
      </c>
      <c r="L182" s="26">
        <f>F182 * G182 * 44.887744</f>
        <v>44.887743999999998</v>
      </c>
      <c r="M182" s="26">
        <f>F182 * G182 * 39.538728</f>
        <v>39.538727999999999</v>
      </c>
      <c r="N182" s="27">
        <f>SUM(H182:M182)</f>
        <v>470.36399399999999</v>
      </c>
      <c r="O182" s="28">
        <f>IF(O3&gt;0,N182/O3/12,0)</f>
        <v>1.1995246672670871E-4</v>
      </c>
    </row>
    <row r="183" spans="2:15" s="18" customFormat="1" ht="13.8" x14ac:dyDescent="0.3">
      <c r="B183" s="19"/>
      <c r="C183" s="20" t="s">
        <v>441</v>
      </c>
      <c r="D183" s="35" t="s">
        <v>442</v>
      </c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</row>
    <row r="184" spans="2:15" x14ac:dyDescent="0.3">
      <c r="B184" s="21">
        <v>102</v>
      </c>
      <c r="C184" s="22" t="s">
        <v>443</v>
      </c>
      <c r="D184" s="23" t="s">
        <v>444</v>
      </c>
      <c r="E184" s="23" t="s">
        <v>445</v>
      </c>
      <c r="F184" s="24"/>
      <c r="G184" s="25">
        <v>1</v>
      </c>
      <c r="H184" s="26">
        <f>F184 * G184 * 10.596525</f>
        <v>0</v>
      </c>
      <c r="I184" s="26">
        <f>F184 * G184 * 0</f>
        <v>0</v>
      </c>
      <c r="J184" s="26">
        <f>F184 * G184 * 0</f>
        <v>0</v>
      </c>
      <c r="K184" s="26">
        <f>F184 * G184 * 10.090011</f>
        <v>0</v>
      </c>
      <c r="L184" s="26">
        <f>F184 * G184 * 2.406016</f>
        <v>0</v>
      </c>
      <c r="M184" s="26">
        <f>F184 * G184 * 2.119305</f>
        <v>0</v>
      </c>
      <c r="N184" s="27">
        <f>SUM(H184:M184)</f>
        <v>0</v>
      </c>
      <c r="O184" s="28">
        <f>IF(O3&gt;0,N184/O3/12,0)</f>
        <v>0</v>
      </c>
    </row>
    <row r="185" spans="2:15" ht="27.6" x14ac:dyDescent="0.3">
      <c r="B185" s="21">
        <v>103</v>
      </c>
      <c r="C185" s="22" t="s">
        <v>446</v>
      </c>
      <c r="D185" s="23" t="s">
        <v>447</v>
      </c>
      <c r="E185" s="23" t="s">
        <v>448</v>
      </c>
      <c r="F185" s="24">
        <v>375</v>
      </c>
      <c r="G185" s="25">
        <v>1</v>
      </c>
      <c r="H185" s="26">
        <f>F185 * G185 * 15.026252</f>
        <v>5634.8445000000002</v>
      </c>
      <c r="I185" s="26">
        <f>F185 * G185 * 0</f>
        <v>0</v>
      </c>
      <c r="J185" s="26">
        <f>F185 * G185 * 0</f>
        <v>0</v>
      </c>
      <c r="K185" s="26">
        <f>F185 * G185 * 14.307997</f>
        <v>5365.4988750000002</v>
      </c>
      <c r="L185" s="26">
        <f>F185 * G185 * 3.411817</f>
        <v>1279.4313750000001</v>
      </c>
      <c r="M185" s="26">
        <f>F185 * G185 * 3.00525</f>
        <v>1126.96875</v>
      </c>
      <c r="N185" s="27">
        <f>SUM(H185:M185)</f>
        <v>13406.7435</v>
      </c>
      <c r="O185" s="28">
        <f>IF(O3&gt;0,N185/O3/12,0)</f>
        <v>3.4189945959113275E-3</v>
      </c>
    </row>
    <row r="186" spans="2:15" s="18" customFormat="1" ht="13.8" x14ac:dyDescent="0.3">
      <c r="B186" s="19"/>
      <c r="C186" s="20" t="s">
        <v>449</v>
      </c>
      <c r="D186" s="32" t="s">
        <v>450</v>
      </c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</row>
    <row r="187" spans="2:15" ht="41.4" x14ac:dyDescent="0.3">
      <c r="B187" s="21">
        <v>104</v>
      </c>
      <c r="C187" s="22" t="s">
        <v>451</v>
      </c>
      <c r="D187" s="23" t="s">
        <v>452</v>
      </c>
      <c r="E187" s="23" t="s">
        <v>453</v>
      </c>
      <c r="F187" s="24">
        <v>788</v>
      </c>
      <c r="G187" s="25">
        <v>1</v>
      </c>
      <c r="H187" s="26">
        <f>F187 * G187 * 158.639233</f>
        <v>125007.715604</v>
      </c>
      <c r="I187" s="26">
        <f>F187 * G187 * 0</f>
        <v>0</v>
      </c>
      <c r="J187" s="26">
        <f>F187 * G187 * 0</f>
        <v>0</v>
      </c>
      <c r="K187" s="26">
        <f>F187 * G187 * 151.056277</f>
        <v>119032.346276</v>
      </c>
      <c r="L187" s="26">
        <f>F187 * G187 * 36.0201639999999</f>
        <v>28383.889231999921</v>
      </c>
      <c r="M187" s="26">
        <f>F187 * G187 * 31.727847</f>
        <v>25001.543436</v>
      </c>
      <c r="N187" s="27">
        <f>SUM(H187:M187)</f>
        <v>297425.49454799993</v>
      </c>
      <c r="O187" s="28">
        <f>IF(O3&gt;0,N187/O3/12,0)</f>
        <v>7.5849601996626978E-2</v>
      </c>
    </row>
    <row r="188" spans="2:15" ht="41.4" x14ac:dyDescent="0.3">
      <c r="B188" s="21">
        <v>105</v>
      </c>
      <c r="C188" s="22" t="s">
        <v>454</v>
      </c>
      <c r="D188" s="23" t="s">
        <v>455</v>
      </c>
      <c r="E188" s="23" t="s">
        <v>453</v>
      </c>
      <c r="F188" s="24">
        <v>182</v>
      </c>
      <c r="G188" s="25">
        <v>1</v>
      </c>
      <c r="H188" s="26">
        <f>F188 * G188 * 183.045269</f>
        <v>33314.238958000002</v>
      </c>
      <c r="I188" s="26">
        <f>F188 * G188 * 0</f>
        <v>0</v>
      </c>
      <c r="J188" s="26">
        <f>F188 * G188 * 0</f>
        <v>0</v>
      </c>
      <c r="K188" s="26">
        <f>F188 * G188 * 174.295705</f>
        <v>31721.818309999999</v>
      </c>
      <c r="L188" s="26">
        <f>F188 * G188 * 41.5617279999999</f>
        <v>7564.2344959999828</v>
      </c>
      <c r="M188" s="26">
        <f>F188 * G188 * 36.609054</f>
        <v>6662.8478279999999</v>
      </c>
      <c r="N188" s="27">
        <f>SUM(H188:M188)</f>
        <v>79263.139591999992</v>
      </c>
      <c r="O188" s="28">
        <f>IF(O3&gt;0,N188/O3/12,0)</f>
        <v>2.0213726466834631E-2</v>
      </c>
    </row>
    <row r="189" spans="2:15" ht="41.4" x14ac:dyDescent="0.3">
      <c r="B189" s="21">
        <v>106</v>
      </c>
      <c r="C189" s="22" t="s">
        <v>456</v>
      </c>
      <c r="D189" s="23" t="s">
        <v>457</v>
      </c>
      <c r="E189" s="23" t="s">
        <v>453</v>
      </c>
      <c r="F189" s="24">
        <v>58</v>
      </c>
      <c r="G189" s="25">
        <v>1</v>
      </c>
      <c r="H189" s="26">
        <f>F189 * G189 * 219.654323</f>
        <v>12739.950734</v>
      </c>
      <c r="I189" s="26">
        <f>F189 * G189 * 0</f>
        <v>0</v>
      </c>
      <c r="J189" s="26">
        <f>F189 * G189 * 0</f>
        <v>0</v>
      </c>
      <c r="K189" s="26">
        <f>F189 * G189 * 209.154846</f>
        <v>12130.981067999999</v>
      </c>
      <c r="L189" s="26">
        <f>F189 * G189 * 49.874073</f>
        <v>2892.696234</v>
      </c>
      <c r="M189" s="26">
        <f>F189 * G189 * 43.930865</f>
        <v>2547.99017</v>
      </c>
      <c r="N189" s="27">
        <f>SUM(H189:M189)</f>
        <v>30311.618205999999</v>
      </c>
      <c r="O189" s="28">
        <f>IF(O3&gt;0,N189/O3/12,0)</f>
        <v>7.7300844041389627E-3</v>
      </c>
    </row>
    <row r="190" spans="2:15" ht="41.4" x14ac:dyDescent="0.3">
      <c r="B190" s="21">
        <v>107</v>
      </c>
      <c r="C190" s="22" t="s">
        <v>458</v>
      </c>
      <c r="D190" s="23" t="s">
        <v>459</v>
      </c>
      <c r="E190" s="23" t="s">
        <v>453</v>
      </c>
      <c r="F190" s="24">
        <v>197</v>
      </c>
      <c r="G190" s="25">
        <v>1</v>
      </c>
      <c r="H190" s="26">
        <f>F190 * G190 * 256.263376</f>
        <v>50483.885071999997</v>
      </c>
      <c r="I190" s="26">
        <f>F190 * G190 * 0</f>
        <v>0</v>
      </c>
      <c r="J190" s="26">
        <f>F190 * G190 * 0</f>
        <v>0</v>
      </c>
      <c r="K190" s="26">
        <f>F190 * G190 * 244.013986</f>
        <v>48070.755241999999</v>
      </c>
      <c r="L190" s="26">
        <f>F190 * G190 * 58.186419</f>
        <v>11462.724543</v>
      </c>
      <c r="M190" s="26">
        <f>F190 * G190 * 51.252675</f>
        <v>10096.776975000001</v>
      </c>
      <c r="N190" s="27">
        <f>SUM(H190:M190)</f>
        <v>120114.14183199999</v>
      </c>
      <c r="O190" s="28">
        <f>IF(O3&gt;0,N190/O3/12,0)</f>
        <v>3.0631569986860323E-2</v>
      </c>
    </row>
    <row r="191" spans="2:15" s="15" customFormat="1" ht="14.4" x14ac:dyDescent="0.3">
      <c r="B191" s="16"/>
      <c r="C191" s="17" t="s">
        <v>460</v>
      </c>
      <c r="D191" s="34" t="s">
        <v>461</v>
      </c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</row>
    <row r="192" spans="2:15" s="18" customFormat="1" ht="13.8" x14ac:dyDescent="0.3">
      <c r="B192" s="19"/>
      <c r="C192" s="20" t="s">
        <v>462</v>
      </c>
      <c r="D192" s="35" t="s">
        <v>463</v>
      </c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</row>
    <row r="193" spans="2:15" ht="27.6" x14ac:dyDescent="0.3">
      <c r="B193" s="21">
        <v>108</v>
      </c>
      <c r="C193" s="22" t="s">
        <v>464</v>
      </c>
      <c r="D193" s="23" t="s">
        <v>465</v>
      </c>
      <c r="E193" s="23" t="s">
        <v>466</v>
      </c>
      <c r="F193" s="24">
        <v>60</v>
      </c>
      <c r="G193" s="25">
        <v>1</v>
      </c>
      <c r="H193" s="26">
        <f>F193 * G193 * 103.242913</f>
        <v>6194.5747799999999</v>
      </c>
      <c r="I193" s="26">
        <f>F193 * G193 * 354.3142</f>
        <v>21258.852000000003</v>
      </c>
      <c r="J193" s="26">
        <f>F193 * G193 * 0</f>
        <v>0</v>
      </c>
      <c r="K193" s="26">
        <f>F193 * G193 * 98.307901</f>
        <v>5898.4740600000005</v>
      </c>
      <c r="L193" s="26">
        <f>F193 * G193 * 60.822185</f>
        <v>3649.3310999999999</v>
      </c>
      <c r="M193" s="26">
        <f>F193 * G193 * 20.648583</f>
        <v>1238.91498</v>
      </c>
      <c r="N193" s="27">
        <f>SUM(H193:M193)</f>
        <v>38240.146920000007</v>
      </c>
      <c r="O193" s="28">
        <f>IF(O3&gt;0,N193/O3/12,0)</f>
        <v>9.752021858726187E-3</v>
      </c>
    </row>
    <row r="194" spans="2:15" x14ac:dyDescent="0.3">
      <c r="B194" s="21">
        <v>109</v>
      </c>
      <c r="C194" s="22" t="s">
        <v>467</v>
      </c>
      <c r="D194" s="23" t="s">
        <v>468</v>
      </c>
      <c r="E194" s="23" t="s">
        <v>469</v>
      </c>
      <c r="F194" s="24">
        <v>60</v>
      </c>
      <c r="G194" s="25">
        <v>1</v>
      </c>
      <c r="H194" s="26">
        <f>F194 * G194 * 18.771439</f>
        <v>1126.2863400000001</v>
      </c>
      <c r="I194" s="26">
        <f>F194 * G194 * 2196.39366</f>
        <v>131783.61960000001</v>
      </c>
      <c r="J194" s="26">
        <f>F194 * G194 * 0</f>
        <v>0</v>
      </c>
      <c r="K194" s="26">
        <f>F194 * G194 * 17.874164</f>
        <v>1072.44984</v>
      </c>
      <c r="L194" s="26">
        <f>F194 * G194 * 235.98172</f>
        <v>14158.903200000001</v>
      </c>
      <c r="M194" s="26">
        <f>F194 * G194 * 3.754288</f>
        <v>225.25727999999998</v>
      </c>
      <c r="N194" s="27">
        <f>SUM(H194:M194)</f>
        <v>148366.51625999997</v>
      </c>
      <c r="O194" s="28">
        <f>IF(O3&gt;0,N194/O3/12,0)</f>
        <v>3.783650498774218E-2</v>
      </c>
    </row>
    <row r="195" spans="2:15" x14ac:dyDescent="0.3">
      <c r="B195" s="21">
        <v>110</v>
      </c>
      <c r="C195" s="22" t="s">
        <v>470</v>
      </c>
      <c r="D195" s="23" t="s">
        <v>471</v>
      </c>
      <c r="E195" s="23" t="s">
        <v>472</v>
      </c>
      <c r="F195" s="24">
        <v>2.4</v>
      </c>
      <c r="G195" s="25">
        <v>1</v>
      </c>
      <c r="H195" s="26">
        <f>F195 * G195 * 46928.5968</f>
        <v>112628.63231999999</v>
      </c>
      <c r="I195" s="26">
        <f>F195 * G195 * 128543.543605</f>
        <v>308504.50465199997</v>
      </c>
      <c r="J195" s="26">
        <f>F195 * G195 * 0</f>
        <v>0</v>
      </c>
      <c r="K195" s="26">
        <f>F195 * G195 * 44685.409873</f>
        <v>107244.98369519999</v>
      </c>
      <c r="L195" s="26">
        <f>F195 * G195 * 24216.814947</f>
        <v>58120.355872799999</v>
      </c>
      <c r="M195" s="26">
        <f>F195 * G195 * 9385.71936</f>
        <v>22525.726463999996</v>
      </c>
      <c r="N195" s="27">
        <f>SUM(H195:M195)</f>
        <v>609024.20300399989</v>
      </c>
      <c r="O195" s="28">
        <f>IF(O3&gt;0,N195/O3/12,0)</f>
        <v>0.1553136642652915</v>
      </c>
    </row>
    <row r="196" spans="2:15" s="18" customFormat="1" ht="13.8" x14ac:dyDescent="0.3">
      <c r="B196" s="19"/>
      <c r="C196" s="20" t="s">
        <v>473</v>
      </c>
      <c r="D196" s="35" t="s">
        <v>474</v>
      </c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</row>
    <row r="197" spans="2:15" x14ac:dyDescent="0.3">
      <c r="B197" s="21">
        <v>111</v>
      </c>
      <c r="C197" s="22" t="s">
        <v>475</v>
      </c>
      <c r="D197" s="23" t="s">
        <v>476</v>
      </c>
      <c r="E197" s="23" t="s">
        <v>477</v>
      </c>
      <c r="F197" s="24">
        <v>110</v>
      </c>
      <c r="G197" s="25">
        <v>12</v>
      </c>
      <c r="H197" s="26">
        <f>F197 * G197 * 320.54487</f>
        <v>423119.22840000002</v>
      </c>
      <c r="I197" s="26">
        <f>F197 * G197 * 26.740581</f>
        <v>35297.566919999997</v>
      </c>
      <c r="J197" s="26">
        <f>F197 * G197 * 0</f>
        <v>0</v>
      </c>
      <c r="K197" s="26">
        <f>F197 * G197 * 305.222826</f>
        <v>402894.13032</v>
      </c>
      <c r="L197" s="26">
        <f>F197 * G197 * 75.6031199999999</f>
        <v>99796.118399999876</v>
      </c>
      <c r="M197" s="26">
        <f>F197 * G197 * 64.108974</f>
        <v>84623.845679999999</v>
      </c>
      <c r="N197" s="27">
        <f>SUM(H197:M197)</f>
        <v>1045730.88972</v>
      </c>
      <c r="O197" s="28">
        <f>IF(O3&gt;0,N197/O3/12,0)</f>
        <v>0.26668282724512665</v>
      </c>
    </row>
    <row r="198" spans="2:15" s="18" customFormat="1" ht="13.8" x14ac:dyDescent="0.3">
      <c r="B198" s="19"/>
      <c r="C198" s="20" t="s">
        <v>478</v>
      </c>
      <c r="D198" s="35" t="s">
        <v>479</v>
      </c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</row>
    <row r="199" spans="2:15" x14ac:dyDescent="0.3">
      <c r="B199" s="21">
        <v>112</v>
      </c>
      <c r="C199" s="22" t="s">
        <v>480</v>
      </c>
      <c r="D199" s="23" t="s">
        <v>481</v>
      </c>
      <c r="E199" s="23" t="s">
        <v>482</v>
      </c>
      <c r="F199" s="24">
        <v>1.56</v>
      </c>
      <c r="G199" s="25">
        <v>1</v>
      </c>
      <c r="H199" s="26">
        <f>F199 * G199 * 2815.715808</f>
        <v>4392.5166604799997</v>
      </c>
      <c r="I199" s="26">
        <f>F199 * G199 * 0</f>
        <v>0</v>
      </c>
      <c r="J199" s="26">
        <f>F199 * G199 * 0</f>
        <v>0</v>
      </c>
      <c r="K199" s="26">
        <f>F199 * G199 * 2681.124592</f>
        <v>4182.5543635200002</v>
      </c>
      <c r="L199" s="26">
        <f>F199 * G199 * 639.328266</f>
        <v>997.35209496000004</v>
      </c>
      <c r="M199" s="26">
        <f>F199 * G199 * 563.143162</f>
        <v>878.50333272</v>
      </c>
      <c r="N199" s="27">
        <f>SUM(H199:M199)</f>
        <v>10450.926451680001</v>
      </c>
      <c r="O199" s="28">
        <f>IF(O3&gt;0,N199/O3/12,0)</f>
        <v>2.665200617924903E-3</v>
      </c>
    </row>
    <row r="200" spans="2:15" s="18" customFormat="1" ht="13.8" x14ac:dyDescent="0.3">
      <c r="B200" s="19"/>
      <c r="C200" s="20" t="s">
        <v>483</v>
      </c>
      <c r="D200" s="35" t="s">
        <v>484</v>
      </c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</row>
    <row r="201" spans="2:15" x14ac:dyDescent="0.3">
      <c r="B201" s="21">
        <v>113</v>
      </c>
      <c r="C201" s="22" t="s">
        <v>485</v>
      </c>
      <c r="D201" s="23" t="s">
        <v>486</v>
      </c>
      <c r="E201" s="23" t="s">
        <v>487</v>
      </c>
      <c r="F201" s="24"/>
      <c r="G201" s="25">
        <v>1</v>
      </c>
      <c r="H201" s="26">
        <f>F201 * G201 * 22.291083</f>
        <v>0</v>
      </c>
      <c r="I201" s="26">
        <f>F201 * G201 * 126.8248</f>
        <v>0</v>
      </c>
      <c r="J201" s="26">
        <f>F201 * G201 * 0</f>
        <v>0</v>
      </c>
      <c r="K201" s="26">
        <f>F201 * G201 * 21.225569</f>
        <v>0</v>
      </c>
      <c r="L201" s="26">
        <f>F201 * G201 * 18.441365</f>
        <v>0</v>
      </c>
      <c r="M201" s="26">
        <f>F201 * G201 * 4.458217</f>
        <v>0</v>
      </c>
      <c r="N201" s="27">
        <f>SUM(H201:M201)</f>
        <v>0</v>
      </c>
      <c r="O201" s="28">
        <f>IF(O3&gt;0,N201/O3/12,0)</f>
        <v>0</v>
      </c>
    </row>
    <row r="202" spans="2:15" ht="27.6" x14ac:dyDescent="0.3">
      <c r="B202" s="21">
        <v>114</v>
      </c>
      <c r="C202" s="22" t="s">
        <v>488</v>
      </c>
      <c r="D202" s="23" t="s">
        <v>489</v>
      </c>
      <c r="E202" s="23" t="s">
        <v>490</v>
      </c>
      <c r="F202" s="24">
        <v>300</v>
      </c>
      <c r="G202" s="25">
        <v>1</v>
      </c>
      <c r="H202" s="26">
        <f>F202 * G202 * 432.603118</f>
        <v>129780.9354</v>
      </c>
      <c r="I202" s="26">
        <f>F202 * G202 * 793.217263</f>
        <v>237965.1789</v>
      </c>
      <c r="J202" s="26">
        <f>F202 * G202 * 0</f>
        <v>0</v>
      </c>
      <c r="K202" s="26">
        <f>F202 * G202 * 411.924689</f>
        <v>123577.40670000001</v>
      </c>
      <c r="L202" s="26">
        <f>F202 * G202 * 181.91003</f>
        <v>54573.009000000005</v>
      </c>
      <c r="M202" s="26">
        <f>F202 * G202 * 86.520624</f>
        <v>25956.1872</v>
      </c>
      <c r="N202" s="27">
        <f>SUM(H202:M202)</f>
        <v>571852.71720000007</v>
      </c>
      <c r="O202" s="28">
        <f>IF(O3&gt;0,N202/O3/12,0)</f>
        <v>0.14583417291186401</v>
      </c>
    </row>
    <row r="203" spans="2:15" s="15" customFormat="1" ht="14.4" x14ac:dyDescent="0.3">
      <c r="B203" s="16"/>
      <c r="C203" s="17" t="s">
        <v>491</v>
      </c>
      <c r="D203" s="34" t="s">
        <v>492</v>
      </c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</row>
    <row r="204" spans="2:15" s="18" customFormat="1" ht="13.8" x14ac:dyDescent="0.3">
      <c r="B204" s="19"/>
      <c r="C204" s="20" t="s">
        <v>493</v>
      </c>
      <c r="D204" s="35" t="s">
        <v>494</v>
      </c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</row>
    <row r="205" spans="2:15" ht="27.6" x14ac:dyDescent="0.3">
      <c r="B205" s="21">
        <v>115</v>
      </c>
      <c r="C205" s="22" t="s">
        <v>495</v>
      </c>
      <c r="D205" s="23" t="s">
        <v>496</v>
      </c>
      <c r="E205" s="23" t="s">
        <v>497</v>
      </c>
      <c r="F205" s="24">
        <v>1</v>
      </c>
      <c r="G205" s="25">
        <v>1</v>
      </c>
      <c r="H205" s="26">
        <f>F205 * G205 * 32.200102</f>
        <v>32.200102000000001</v>
      </c>
      <c r="I205" s="26">
        <f>F205 * G205 * 412.815172</f>
        <v>412.81517200000002</v>
      </c>
      <c r="J205" s="26">
        <f>F205 * G205 * 0</f>
        <v>0</v>
      </c>
      <c r="K205" s="26">
        <f>F205 * G205 * 30.660937</f>
        <v>30.660937000000001</v>
      </c>
      <c r="L205" s="26">
        <f>F205 * G205 * 50.863262</f>
        <v>50.863261999999999</v>
      </c>
      <c r="M205" s="26">
        <f>F205 * G205 * 6.44002</f>
        <v>6.4400199999999996</v>
      </c>
      <c r="N205" s="27">
        <f>SUM(H205:M205)</f>
        <v>532.97949300000005</v>
      </c>
      <c r="O205" s="28">
        <f>IF(O3&gt;0,N205/O3/12,0)</f>
        <v>1.3592070336085416E-4</v>
      </c>
    </row>
    <row r="206" spans="2:15" s="18" customFormat="1" ht="13.8" x14ac:dyDescent="0.3">
      <c r="B206" s="19"/>
      <c r="C206" s="20" t="s">
        <v>498</v>
      </c>
      <c r="D206" s="35" t="s">
        <v>499</v>
      </c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</row>
    <row r="207" spans="2:15" x14ac:dyDescent="0.3">
      <c r="B207" s="21">
        <v>116</v>
      </c>
      <c r="C207" s="22" t="s">
        <v>500</v>
      </c>
      <c r="D207" s="23" t="s">
        <v>501</v>
      </c>
      <c r="E207" s="23" t="s">
        <v>502</v>
      </c>
      <c r="F207" s="24">
        <v>1</v>
      </c>
      <c r="G207" s="25">
        <v>1</v>
      </c>
      <c r="H207" s="26">
        <f>F207 * G207 * 5166.992826</f>
        <v>5166.9928259999997</v>
      </c>
      <c r="I207" s="26">
        <f>F207 * G207 * 12581.042408</f>
        <v>12581.042407999999</v>
      </c>
      <c r="J207" s="26">
        <f>F207 * G207 * 0</f>
        <v>0</v>
      </c>
      <c r="K207" s="26">
        <f>F207 * G207 * 4920.010569</f>
        <v>4920.010569</v>
      </c>
      <c r="L207" s="26">
        <f>F207 * G207 * 2500.502381</f>
        <v>2500.5023809999998</v>
      </c>
      <c r="M207" s="26">
        <f>F207 * G207 * 1033.398565</f>
        <v>1033.398565</v>
      </c>
      <c r="N207" s="27">
        <f>SUM(H207:M207)</f>
        <v>26201.946748999999</v>
      </c>
      <c r="O207" s="28">
        <f>IF(O3&gt;0,N207/O3/12,0)</f>
        <v>6.682033883708402E-3</v>
      </c>
    </row>
    <row r="208" spans="2:15" s="18" customFormat="1" ht="13.8" x14ac:dyDescent="0.3">
      <c r="B208" s="19"/>
      <c r="C208" s="20" t="s">
        <v>503</v>
      </c>
      <c r="D208" s="35" t="s">
        <v>504</v>
      </c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</row>
    <row r="209" spans="2:15" ht="27.6" x14ac:dyDescent="0.3">
      <c r="B209" s="21">
        <v>117</v>
      </c>
      <c r="C209" s="22" t="s">
        <v>505</v>
      </c>
      <c r="D209" s="23" t="s">
        <v>506</v>
      </c>
      <c r="E209" s="23" t="s">
        <v>507</v>
      </c>
      <c r="F209" s="24">
        <v>326.8</v>
      </c>
      <c r="G209" s="25">
        <v>1</v>
      </c>
      <c r="H209" s="26">
        <f>F209 * G209 * 91.510764</f>
        <v>29905.717675199998</v>
      </c>
      <c r="I209" s="26">
        <f t="shared" ref="I209:I214" si="6">F209 * G209 * 0</f>
        <v>0</v>
      </c>
      <c r="J209" s="26">
        <f t="shared" ref="J209:J214" si="7">F209 * G209 * 0</f>
        <v>0</v>
      </c>
      <c r="K209" s="26">
        <f>F209 * G209 * 87.13655</f>
        <v>28476.224539999999</v>
      </c>
      <c r="L209" s="26">
        <f>F209 * G209 * 20.7781679999999</f>
        <v>6790.3053023999682</v>
      </c>
      <c r="M209" s="26">
        <f>F209 * G209 * 18.302153</f>
        <v>5981.1436004000007</v>
      </c>
      <c r="N209" s="27">
        <f t="shared" ref="N209:N214" si="8">SUM(H209:M209)</f>
        <v>71153.39111799997</v>
      </c>
      <c r="O209" s="28">
        <f>IF(O3&gt;0,N209/O3/12,0)</f>
        <v>1.8145574256209718E-2</v>
      </c>
    </row>
    <row r="210" spans="2:15" ht="27.6" x14ac:dyDescent="0.3">
      <c r="B210" s="21">
        <v>118</v>
      </c>
      <c r="C210" s="22" t="s">
        <v>508</v>
      </c>
      <c r="D210" s="23" t="s">
        <v>509</v>
      </c>
      <c r="E210" s="23" t="s">
        <v>507</v>
      </c>
      <c r="F210" s="24">
        <v>326.8</v>
      </c>
      <c r="G210" s="25">
        <v>1</v>
      </c>
      <c r="H210" s="26">
        <f>F210 * G210 * 729.73968</f>
        <v>238478.92742400002</v>
      </c>
      <c r="I210" s="26">
        <f t="shared" si="6"/>
        <v>0</v>
      </c>
      <c r="J210" s="26">
        <f t="shared" si="7"/>
        <v>0</v>
      </c>
      <c r="K210" s="26">
        <f>F210 * G210 * 694.858123</f>
        <v>227079.63459639999</v>
      </c>
      <c r="L210" s="26">
        <f>F210 * G210 * 165.692576</f>
        <v>54148.333836800004</v>
      </c>
      <c r="M210" s="26">
        <f>F210 * G210 * 145.947936</f>
        <v>47695.785484799999</v>
      </c>
      <c r="N210" s="27">
        <f t="shared" si="8"/>
        <v>567402.68134200003</v>
      </c>
      <c r="O210" s="28">
        <f>IF(O3&gt;0,N210/O3/12,0)</f>
        <v>0.14469932248751496</v>
      </c>
    </row>
    <row r="211" spans="2:15" ht="27.6" x14ac:dyDescent="0.3">
      <c r="B211" s="21">
        <v>119</v>
      </c>
      <c r="C211" s="22" t="s">
        <v>510</v>
      </c>
      <c r="D211" s="23" t="s">
        <v>511</v>
      </c>
      <c r="E211" s="23" t="s">
        <v>507</v>
      </c>
      <c r="F211" s="24">
        <v>326.8</v>
      </c>
      <c r="G211" s="25">
        <v>1</v>
      </c>
      <c r="H211" s="26">
        <f>F211 * G211 * 362.930969</f>
        <v>118605.8406692</v>
      </c>
      <c r="I211" s="26">
        <f t="shared" si="6"/>
        <v>0</v>
      </c>
      <c r="J211" s="26">
        <f t="shared" si="7"/>
        <v>0</v>
      </c>
      <c r="K211" s="26">
        <f>F211 * G211 * 345.582869</f>
        <v>112936.4815892</v>
      </c>
      <c r="L211" s="26">
        <f>F211 * G211 * 82.406053</f>
        <v>26930.298120400003</v>
      </c>
      <c r="M211" s="26">
        <f>F211 * G211 * 72.586194</f>
        <v>23721.168199200001</v>
      </c>
      <c r="N211" s="27">
        <f t="shared" si="8"/>
        <v>282193.78857799998</v>
      </c>
      <c r="O211" s="28">
        <f>IF(O3&gt;0,N211/O3/12,0)</f>
        <v>7.19652045366517E-2</v>
      </c>
    </row>
    <row r="212" spans="2:15" x14ac:dyDescent="0.3">
      <c r="B212" s="21">
        <v>120</v>
      </c>
      <c r="C212" s="22" t="s">
        <v>512</v>
      </c>
      <c r="D212" s="23" t="s">
        <v>513</v>
      </c>
      <c r="E212" s="23" t="s">
        <v>514</v>
      </c>
      <c r="F212" s="24">
        <v>29.74</v>
      </c>
      <c r="G212" s="25">
        <v>1</v>
      </c>
      <c r="H212" s="26">
        <f>F212 * G212 * 296.70269</f>
        <v>8823.9380005999992</v>
      </c>
      <c r="I212" s="26">
        <f t="shared" si="6"/>
        <v>0</v>
      </c>
      <c r="J212" s="26">
        <f t="shared" si="7"/>
        <v>0</v>
      </c>
      <c r="K212" s="26">
        <f>F212 * G212 * 282.520302</f>
        <v>8402.1537814799995</v>
      </c>
      <c r="L212" s="26">
        <f>F212 * G212 * 67.368453</f>
        <v>2003.53779222</v>
      </c>
      <c r="M212" s="26">
        <f>F212 * G212 * 59.340538</f>
        <v>1764.78760012</v>
      </c>
      <c r="N212" s="27">
        <f t="shared" si="8"/>
        <v>20994.417174419996</v>
      </c>
      <c r="O212" s="28">
        <f>IF(O3&gt;0,N212/O3/12,0)</f>
        <v>5.3540070236780422E-3</v>
      </c>
    </row>
    <row r="213" spans="2:15" ht="27.6" x14ac:dyDescent="0.3">
      <c r="B213" s="21">
        <v>121</v>
      </c>
      <c r="C213" s="22" t="s">
        <v>515</v>
      </c>
      <c r="D213" s="23" t="s">
        <v>516</v>
      </c>
      <c r="E213" s="23" t="s">
        <v>507</v>
      </c>
      <c r="F213" s="24">
        <v>326.8</v>
      </c>
      <c r="G213" s="25">
        <v>1</v>
      </c>
      <c r="H213" s="26">
        <f>F213 * G213 * 1059.652464</f>
        <v>346294.42523520003</v>
      </c>
      <c r="I213" s="26">
        <f t="shared" si="6"/>
        <v>0</v>
      </c>
      <c r="J213" s="26">
        <f t="shared" si="7"/>
        <v>0</v>
      </c>
      <c r="K213" s="26">
        <f>F213 * G213 * 1009.00107699999</f>
        <v>329741.55196359672</v>
      </c>
      <c r="L213" s="26">
        <f>F213 * G213 * 240.601614999999</f>
        <v>78628.607781999672</v>
      </c>
      <c r="M213" s="26">
        <f>F213 * G213 * 211.930493</f>
        <v>69258.885112400007</v>
      </c>
      <c r="N213" s="27">
        <f t="shared" si="8"/>
        <v>823923.47009319649</v>
      </c>
      <c r="O213" s="28">
        <f>IF(O3&gt;0,N213/O3/12,0)</f>
        <v>0.21011738545554684</v>
      </c>
    </row>
    <row r="214" spans="2:15" ht="27.6" x14ac:dyDescent="0.3">
      <c r="B214" s="21">
        <v>122</v>
      </c>
      <c r="C214" s="22" t="s">
        <v>517</v>
      </c>
      <c r="D214" s="23" t="s">
        <v>518</v>
      </c>
      <c r="E214" s="23" t="s">
        <v>507</v>
      </c>
      <c r="F214" s="24">
        <v>326.8</v>
      </c>
      <c r="G214" s="25">
        <v>1</v>
      </c>
      <c r="H214" s="26">
        <f>F214 * G214 * 794.739348</f>
        <v>259720.81892639998</v>
      </c>
      <c r="I214" s="26">
        <f t="shared" si="6"/>
        <v>0</v>
      </c>
      <c r="J214" s="26">
        <f t="shared" si="7"/>
        <v>0</v>
      </c>
      <c r="K214" s="26">
        <f>F214 * G214 * 756.750806999999</f>
        <v>247306.16372759969</v>
      </c>
      <c r="L214" s="26">
        <f>F214 * G214 * 180.451211</f>
        <v>58971.455754800001</v>
      </c>
      <c r="M214" s="26">
        <f>F214 * G214 * 158.94787</f>
        <v>51944.163915999998</v>
      </c>
      <c r="N214" s="27">
        <f t="shared" si="8"/>
        <v>617942.60232479975</v>
      </c>
      <c r="O214" s="28">
        <f>IF(O3&gt;0,N214/O3/12,0)</f>
        <v>0.15758803902915522</v>
      </c>
    </row>
    <row r="215" spans="2:15" s="18" customFormat="1" ht="13.8" x14ac:dyDescent="0.3">
      <c r="B215" s="19"/>
      <c r="C215" s="20" t="s">
        <v>519</v>
      </c>
      <c r="D215" s="35" t="s">
        <v>520</v>
      </c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</row>
    <row r="216" spans="2:15" x14ac:dyDescent="0.3">
      <c r="B216" s="21">
        <v>123</v>
      </c>
      <c r="C216" s="22" t="s">
        <v>521</v>
      </c>
      <c r="D216" s="23" t="s">
        <v>522</v>
      </c>
      <c r="E216" s="23" t="s">
        <v>523</v>
      </c>
      <c r="F216" s="24">
        <v>8.9570000000000007</v>
      </c>
      <c r="G216" s="25">
        <v>2</v>
      </c>
      <c r="H216" s="26">
        <f>F216 * G216 * 794.739348</f>
        <v>14236.960680071999</v>
      </c>
      <c r="I216" s="26">
        <f>F216 * G216 * 0</f>
        <v>0</v>
      </c>
      <c r="J216" s="26">
        <f>F216 * G216 * 0</f>
        <v>0</v>
      </c>
      <c r="K216" s="26">
        <f>F216 * G216 * 756.750806999999</f>
        <v>13556.433956597983</v>
      </c>
      <c r="L216" s="26">
        <f>F216 * G216 * 180.451211</f>
        <v>3232.6029938540005</v>
      </c>
      <c r="M216" s="26">
        <f>F216 * G216 * 158.94787</f>
        <v>2847.3921431799999</v>
      </c>
      <c r="N216" s="27">
        <f>SUM(H216:M216)</f>
        <v>33873.389773703981</v>
      </c>
      <c r="O216" s="28">
        <f>IF(O3&gt;0,N216/O3/12,0)</f>
        <v>8.6384092141012416E-3</v>
      </c>
    </row>
    <row r="217" spans="2:15" x14ac:dyDescent="0.3">
      <c r="B217" s="21">
        <v>124</v>
      </c>
      <c r="C217" s="22" t="s">
        <v>524</v>
      </c>
      <c r="D217" s="23" t="s">
        <v>525</v>
      </c>
      <c r="E217" s="23" t="s">
        <v>523</v>
      </c>
      <c r="F217" s="24">
        <v>38.130000000000003</v>
      </c>
      <c r="G217" s="25">
        <v>2</v>
      </c>
      <c r="H217" s="26">
        <f>F217 * G217 * 741.756725</f>
        <v>56566.367848499998</v>
      </c>
      <c r="I217" s="26">
        <f>F217 * G217 * 0</f>
        <v>0</v>
      </c>
      <c r="J217" s="26">
        <f>F217 * G217 * 0</f>
        <v>0</v>
      </c>
      <c r="K217" s="26">
        <f>F217 * G217 * 706.300753</f>
        <v>53862.495423780005</v>
      </c>
      <c r="L217" s="26">
        <f>F217 * G217 * 168.421131</f>
        <v>12843.795450060001</v>
      </c>
      <c r="M217" s="26">
        <f>F217 * G217 * 148.351345</f>
        <v>11313.273569700001</v>
      </c>
      <c r="N217" s="27">
        <f>SUM(H217:M217)</f>
        <v>134585.93229204</v>
      </c>
      <c r="O217" s="28">
        <f>IF(O3&gt;0,N217/O3/12,0)</f>
        <v>3.4322173404165796E-2</v>
      </c>
    </row>
    <row r="218" spans="2:15" ht="27.6" x14ac:dyDescent="0.3">
      <c r="B218" s="21">
        <v>125</v>
      </c>
      <c r="C218" s="22" t="s">
        <v>526</v>
      </c>
      <c r="D218" s="23" t="s">
        <v>527</v>
      </c>
      <c r="E218" s="23" t="s">
        <v>523</v>
      </c>
      <c r="F218" s="24">
        <v>96.676000000000002</v>
      </c>
      <c r="G218" s="25">
        <v>2</v>
      </c>
      <c r="H218" s="26">
        <f>F218 * G218 * 688.774102</f>
        <v>133175.85016990401</v>
      </c>
      <c r="I218" s="26">
        <f>F218 * G218 * 0</f>
        <v>0</v>
      </c>
      <c r="J218" s="26">
        <f>F218 * G218 * 0</f>
        <v>0</v>
      </c>
      <c r="K218" s="26">
        <f>F218 * G218 * 655.8507</f>
        <v>126810.04454639999</v>
      </c>
      <c r="L218" s="26">
        <f>F218 * G218 * 156.39105</f>
        <v>30238.522299600001</v>
      </c>
      <c r="M218" s="26">
        <f>F218 * G218 * 137.75482</f>
        <v>26635.169956639998</v>
      </c>
      <c r="N218" s="27">
        <f>SUM(H218:M218)</f>
        <v>316859.58697254397</v>
      </c>
      <c r="O218" s="28">
        <f>IF(O3&gt;0,N218/O3/12,0)</f>
        <v>8.0805694203206255E-2</v>
      </c>
    </row>
    <row r="219" spans="2:15" s="18" customFormat="1" ht="13.8" x14ac:dyDescent="0.3">
      <c r="B219" s="19"/>
      <c r="C219" s="20" t="s">
        <v>528</v>
      </c>
      <c r="D219" s="35" t="s">
        <v>529</v>
      </c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</row>
    <row r="220" spans="2:15" ht="27.6" x14ac:dyDescent="0.3">
      <c r="B220" s="21">
        <v>126</v>
      </c>
      <c r="C220" s="22" t="s">
        <v>530</v>
      </c>
      <c r="D220" s="23" t="s">
        <v>531</v>
      </c>
      <c r="E220" s="23" t="s">
        <v>532</v>
      </c>
      <c r="F220" s="24">
        <v>53.44</v>
      </c>
      <c r="G220" s="25">
        <v>1</v>
      </c>
      <c r="H220" s="26">
        <f>F220 * G220 * 15894.78696</f>
        <v>849417.41514239996</v>
      </c>
      <c r="I220" s="26">
        <f>F220 * G220 * 0</f>
        <v>0</v>
      </c>
      <c r="J220" s="26">
        <f>F220 * G220 * 0</f>
        <v>0</v>
      </c>
      <c r="K220" s="26">
        <f>F220 * G220 * 15135.016143</f>
        <v>808815.26268191996</v>
      </c>
      <c r="L220" s="26">
        <f>F220 * G220 * 3609.024232</f>
        <v>192866.25495808001</v>
      </c>
      <c r="M220" s="26">
        <f>F220 * G220 * 3178.957392</f>
        <v>169883.48302847997</v>
      </c>
      <c r="N220" s="27">
        <f>SUM(H220:M220)</f>
        <v>2020982.4158108798</v>
      </c>
      <c r="O220" s="28">
        <f>IF(O3&gt;0,N220/O3/12,0)</f>
        <v>0.51539197106957546</v>
      </c>
    </row>
    <row r="221" spans="2:15" ht="27.6" x14ac:dyDescent="0.3">
      <c r="B221" s="21">
        <v>127</v>
      </c>
      <c r="C221" s="22" t="s">
        <v>533</v>
      </c>
      <c r="D221" s="23" t="s">
        <v>534</v>
      </c>
      <c r="E221" s="23" t="s">
        <v>507</v>
      </c>
      <c r="F221" s="24">
        <v>326.8</v>
      </c>
      <c r="G221" s="25">
        <v>2</v>
      </c>
      <c r="H221" s="26">
        <f>F221 * G221 * 985.500533</f>
        <v>644123.14836880006</v>
      </c>
      <c r="I221" s="26">
        <f>F221 * G221 * 0</f>
        <v>0</v>
      </c>
      <c r="J221" s="26">
        <f>F221 * G221 * 0</f>
        <v>0</v>
      </c>
      <c r="K221" s="26">
        <f>F221 * G221 * 938.393607</f>
        <v>613334.06153519999</v>
      </c>
      <c r="L221" s="26">
        <f>F221 * G221 * 223.764893</f>
        <v>146252.7340648</v>
      </c>
      <c r="M221" s="26">
        <f>F221 * G221 * 197.100107</f>
        <v>128824.62993520001</v>
      </c>
      <c r="N221" s="27">
        <f>SUM(H221:M221)</f>
        <v>1532534.5739040002</v>
      </c>
      <c r="O221" s="28">
        <f>IF(O3&gt;0,N221/O3/12,0)</f>
        <v>0.39082775218493931</v>
      </c>
    </row>
    <row r="222" spans="2:15" s="18" customFormat="1" ht="13.8" x14ac:dyDescent="0.3">
      <c r="B222" s="19"/>
      <c r="C222" s="20" t="s">
        <v>535</v>
      </c>
      <c r="D222" s="35" t="s">
        <v>536</v>
      </c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</row>
    <row r="223" spans="2:15" ht="27.6" x14ac:dyDescent="0.3">
      <c r="B223" s="21">
        <v>128</v>
      </c>
      <c r="C223" s="22" t="s">
        <v>537</v>
      </c>
      <c r="D223" s="23" t="s">
        <v>538</v>
      </c>
      <c r="E223" s="23" t="s">
        <v>507</v>
      </c>
      <c r="F223" s="24">
        <v>326.8</v>
      </c>
      <c r="G223" s="25">
        <v>3</v>
      </c>
      <c r="H223" s="26">
        <f>F223 * G223 * 985.500533</f>
        <v>966184.72255320009</v>
      </c>
      <c r="I223" s="26">
        <f>F223 * G223 * 0</f>
        <v>0</v>
      </c>
      <c r="J223" s="26">
        <f>F223 * G223 * 0</f>
        <v>0</v>
      </c>
      <c r="K223" s="26">
        <f>F223 * G223 * 938.393607</f>
        <v>920001.09230280004</v>
      </c>
      <c r="L223" s="26">
        <f>F223 * G223 * 223.764893</f>
        <v>219379.10109720001</v>
      </c>
      <c r="M223" s="26">
        <f>F223 * G223 * 197.100107</f>
        <v>193236.94490280002</v>
      </c>
      <c r="N223" s="27">
        <f>SUM(H223:M223)</f>
        <v>2298801.8608560003</v>
      </c>
      <c r="O223" s="28">
        <f>IF(O3&gt;0,N223/O3/12,0)</f>
        <v>0.586241628277409</v>
      </c>
    </row>
    <row r="224" spans="2:15" ht="27.6" x14ac:dyDescent="0.3">
      <c r="B224" s="21">
        <v>129</v>
      </c>
      <c r="C224" s="22" t="s">
        <v>539</v>
      </c>
      <c r="D224" s="23" t="s">
        <v>540</v>
      </c>
      <c r="E224" s="23" t="s">
        <v>507</v>
      </c>
      <c r="F224" s="24">
        <v>326.8</v>
      </c>
      <c r="G224" s="25">
        <v>1</v>
      </c>
      <c r="H224" s="26">
        <f>F224 * G224 * 985.500533</f>
        <v>322061.57418440003</v>
      </c>
      <c r="I224" s="26">
        <f>F224 * G224 * 0</f>
        <v>0</v>
      </c>
      <c r="J224" s="26">
        <f>F224 * G224 * 0</f>
        <v>0</v>
      </c>
      <c r="K224" s="26">
        <f>F224 * G224 * 938.393607</f>
        <v>306667.03076759999</v>
      </c>
      <c r="L224" s="26">
        <f>F224 * G224 * 223.764893</f>
        <v>73126.367032399998</v>
      </c>
      <c r="M224" s="26">
        <f>F224 * G224 * 197.100107</f>
        <v>64412.314967600003</v>
      </c>
      <c r="N224" s="27">
        <f>SUM(H224:M224)</f>
        <v>766267.28695200011</v>
      </c>
      <c r="O224" s="28">
        <f>IF(O3&gt;0,N224/O3/12,0)</f>
        <v>0.19541387609246966</v>
      </c>
    </row>
    <row r="225" spans="2:15" s="18" customFormat="1" ht="13.8" x14ac:dyDescent="0.3">
      <c r="B225" s="19"/>
      <c r="C225" s="20" t="s">
        <v>541</v>
      </c>
      <c r="D225" s="35" t="s">
        <v>542</v>
      </c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</row>
    <row r="226" spans="2:15" ht="27.6" x14ac:dyDescent="0.3">
      <c r="B226" s="21">
        <v>130</v>
      </c>
      <c r="C226" s="22" t="s">
        <v>543</v>
      </c>
      <c r="D226" s="23" t="s">
        <v>544</v>
      </c>
      <c r="E226" s="23" t="s">
        <v>545</v>
      </c>
      <c r="F226" s="24">
        <v>4.82</v>
      </c>
      <c r="G226" s="25">
        <v>1</v>
      </c>
      <c r="H226" s="26">
        <f>F226 * G226 * 2384.218044</f>
        <v>11491.930972080001</v>
      </c>
      <c r="I226" s="26">
        <f>F226 * G226 * 0</f>
        <v>0</v>
      </c>
      <c r="J226" s="26">
        <f>F226 * G226 * 0</f>
        <v>0</v>
      </c>
      <c r="K226" s="26">
        <f>F226 * G226 * 2270.252422</f>
        <v>10942.61667404</v>
      </c>
      <c r="L226" s="26">
        <f>F226 * G226 * 541.353633999999</f>
        <v>2609.3245158799955</v>
      </c>
      <c r="M226" s="26">
        <f>F226 * G226 * 476.843609</f>
        <v>2298.3861953800001</v>
      </c>
      <c r="N226" s="27">
        <f>SUM(H226:M226)</f>
        <v>27342.258357379997</v>
      </c>
      <c r="O226" s="28">
        <f>IF(O3&gt;0,N226/O3/12,0)</f>
        <v>6.9728367342817843E-3</v>
      </c>
    </row>
    <row r="227" spans="2:15" x14ac:dyDescent="0.3">
      <c r="B227" s="21">
        <v>131</v>
      </c>
      <c r="C227" s="22" t="s">
        <v>546</v>
      </c>
      <c r="D227" s="23" t="s">
        <v>547</v>
      </c>
      <c r="E227" s="23" t="s">
        <v>173</v>
      </c>
      <c r="F227" s="24">
        <v>170</v>
      </c>
      <c r="G227" s="25">
        <v>1</v>
      </c>
      <c r="H227" s="26">
        <f>F227 * G227 * 1173.21492</f>
        <v>199446.53639999998</v>
      </c>
      <c r="I227" s="26">
        <f>F227 * G227 * 972.602</f>
        <v>165342.34</v>
      </c>
      <c r="J227" s="26">
        <f>F227 * G227 * 0</f>
        <v>0</v>
      </c>
      <c r="K227" s="26">
        <f>F227 * G227 * 1117.135247</f>
        <v>189912.99198999998</v>
      </c>
      <c r="L227" s="26">
        <f>F227 * G227 * 368.996289</f>
        <v>62729.369129999999</v>
      </c>
      <c r="M227" s="26">
        <f>F227 * G227 * 234.642984</f>
        <v>39889.307280000001</v>
      </c>
      <c r="N227" s="27">
        <f>SUM(H227:M227)</f>
        <v>657320.54479999992</v>
      </c>
      <c r="O227" s="28">
        <f>IF(O3&gt;0,N227/O3/12,0)</f>
        <v>0.16763022209328385</v>
      </c>
    </row>
    <row r="228" spans="2:15" x14ac:dyDescent="0.3">
      <c r="B228" s="21">
        <v>132</v>
      </c>
      <c r="C228" s="22" t="s">
        <v>548</v>
      </c>
      <c r="D228" s="23" t="s">
        <v>549</v>
      </c>
      <c r="E228" s="23" t="s">
        <v>550</v>
      </c>
      <c r="F228" s="24">
        <v>3000</v>
      </c>
      <c r="G228" s="25">
        <v>1</v>
      </c>
      <c r="H228" s="26">
        <f>F228 * G228 * 67.111322</f>
        <v>201333.96600000001</v>
      </c>
      <c r="I228" s="26">
        <f>F228 * G228 * 0</f>
        <v>0</v>
      </c>
      <c r="J228" s="26">
        <f>F228 * G228 * 0</f>
        <v>0</v>
      </c>
      <c r="K228" s="26">
        <f>F228 * G228 * 63.903401</f>
        <v>191710.20300000001</v>
      </c>
      <c r="L228" s="26">
        <f>F228 * G228 * 15.238102</f>
        <v>45714.305999999997</v>
      </c>
      <c r="M228" s="26">
        <f>F228 * G228 * 13.422264</f>
        <v>40266.792000000001</v>
      </c>
      <c r="N228" s="27">
        <f>SUM(H228:M228)</f>
        <v>479025.26699999999</v>
      </c>
      <c r="O228" s="28">
        <f>IF(O3&gt;0,N228/O3/12,0)</f>
        <v>0.12216126900451112</v>
      </c>
    </row>
    <row r="229" spans="2:15" s="18" customFormat="1" ht="13.8" x14ac:dyDescent="0.3">
      <c r="B229" s="19"/>
      <c r="C229" s="20" t="s">
        <v>551</v>
      </c>
      <c r="D229" s="35" t="s">
        <v>552</v>
      </c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</row>
    <row r="230" spans="2:15" s="18" customFormat="1" ht="13.8" x14ac:dyDescent="0.3">
      <c r="B230" s="19"/>
      <c r="C230" s="20" t="s">
        <v>553</v>
      </c>
      <c r="D230" s="32" t="s">
        <v>554</v>
      </c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</row>
    <row r="231" spans="2:15" ht="27.6" x14ac:dyDescent="0.3">
      <c r="B231" s="21">
        <v>133</v>
      </c>
      <c r="C231" s="22" t="s">
        <v>555</v>
      </c>
      <c r="D231" s="23" t="s">
        <v>556</v>
      </c>
      <c r="E231" s="23" t="s">
        <v>507</v>
      </c>
      <c r="F231" s="24">
        <v>326.8</v>
      </c>
      <c r="G231" s="25">
        <v>1</v>
      </c>
      <c r="H231" s="26">
        <f>F231 * G231 * 2649.13116</f>
        <v>865736.06308800005</v>
      </c>
      <c r="I231" s="26">
        <f>F231 * G231 * 0</f>
        <v>0</v>
      </c>
      <c r="J231" s="26">
        <f>F231 * G231 * 0</f>
        <v>0</v>
      </c>
      <c r="K231" s="26">
        <f>F231 * G231 * 2522.502691</f>
        <v>824353.87941880012</v>
      </c>
      <c r="L231" s="26">
        <f>F231 * G231 * 601.504038</f>
        <v>196571.51961840002</v>
      </c>
      <c r="M231" s="26">
        <f>F231 * G231 * 529.826232</f>
        <v>173147.21261760002</v>
      </c>
      <c r="N231" s="27">
        <f>SUM(H231:M231)</f>
        <v>2059808.6747428004</v>
      </c>
      <c r="O231" s="28">
        <f>IF(O3&gt;0,N231/O3/12,0)</f>
        <v>0.52529346351385842</v>
      </c>
    </row>
    <row r="232" spans="2:15" ht="41.4" x14ac:dyDescent="0.3">
      <c r="B232" s="21">
        <v>134</v>
      </c>
      <c r="C232" s="22" t="s">
        <v>557</v>
      </c>
      <c r="D232" s="23" t="s">
        <v>558</v>
      </c>
      <c r="E232" s="23" t="s">
        <v>559</v>
      </c>
      <c r="F232" s="24">
        <v>129.97999999999999</v>
      </c>
      <c r="G232" s="25">
        <v>1</v>
      </c>
      <c r="H232" s="26">
        <f>F232 * G232 * 1059.652464</f>
        <v>137733.62727072</v>
      </c>
      <c r="I232" s="26">
        <f>F232 * G232 * 0</f>
        <v>0</v>
      </c>
      <c r="J232" s="26">
        <f>F232 * G232 * 0</f>
        <v>0</v>
      </c>
      <c r="K232" s="26">
        <f>F232 * G232 * 1009.00107699999</f>
        <v>131149.95998845869</v>
      </c>
      <c r="L232" s="26">
        <f>F232 * G232 * 240.601614999999</f>
        <v>31273.397917699866</v>
      </c>
      <c r="M232" s="26">
        <f>F232 * G232 * 211.930493</f>
        <v>27546.725480139998</v>
      </c>
      <c r="N232" s="27">
        <f>SUM(H232:M232)</f>
        <v>327703.71065701859</v>
      </c>
      <c r="O232" s="28">
        <f>IF(O3&gt;0,N232/O3/12,0)</f>
        <v>8.3571168180881214E-2</v>
      </c>
    </row>
    <row r="233" spans="2:15" x14ac:dyDescent="0.3">
      <c r="B233" s="21">
        <v>135</v>
      </c>
      <c r="C233" s="22" t="s">
        <v>560</v>
      </c>
      <c r="D233" s="23" t="s">
        <v>561</v>
      </c>
      <c r="E233" s="23" t="s">
        <v>562</v>
      </c>
      <c r="F233" s="24">
        <v>126</v>
      </c>
      <c r="G233" s="25">
        <v>1</v>
      </c>
      <c r="H233" s="26">
        <f>F233 * G233 * 938.571936</f>
        <v>118260.06393600001</v>
      </c>
      <c r="I233" s="26">
        <f>F233 * G233 * 0</f>
        <v>0</v>
      </c>
      <c r="J233" s="26">
        <f>F233 * G233 * 0</f>
        <v>0</v>
      </c>
      <c r="K233" s="26">
        <f>F233 * G233 * 893.708197</f>
        <v>112607.23282200001</v>
      </c>
      <c r="L233" s="26">
        <f>F233 * G233 * 213.109422</f>
        <v>26851.787172</v>
      </c>
      <c r="M233" s="26">
        <f>F233 * G233 * 187.714387</f>
        <v>23652.012761999998</v>
      </c>
      <c r="N233" s="27">
        <f>SUM(H233:M233)</f>
        <v>281371.09669200005</v>
      </c>
      <c r="O233" s="28">
        <f>IF(O3&gt;0,N233/O3/12,0)</f>
        <v>7.1755401230402582E-2</v>
      </c>
    </row>
    <row r="234" spans="2:15" s="18" customFormat="1" ht="13.8" x14ac:dyDescent="0.3">
      <c r="B234" s="19"/>
      <c r="C234" s="20" t="s">
        <v>563</v>
      </c>
      <c r="D234" s="32" t="s">
        <v>564</v>
      </c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</row>
    <row r="235" spans="2:15" ht="27.6" x14ac:dyDescent="0.3">
      <c r="B235" s="21">
        <v>136</v>
      </c>
      <c r="C235" s="22" t="s">
        <v>565</v>
      </c>
      <c r="D235" s="23" t="s">
        <v>566</v>
      </c>
      <c r="E235" s="23" t="s">
        <v>309</v>
      </c>
      <c r="F235" s="24">
        <v>1000</v>
      </c>
      <c r="G235" s="25">
        <v>1</v>
      </c>
      <c r="H235" s="26">
        <f>F235 * G235 * 922.101423</f>
        <v>922101.42299999995</v>
      </c>
      <c r="I235" s="26">
        <f>F235 * G235 * 9.960721</f>
        <v>9960.7209999999995</v>
      </c>
      <c r="J235" s="26">
        <f>F235 * G235 * 0</f>
        <v>0</v>
      </c>
      <c r="K235" s="26">
        <f>F235 * G235 * 878.024974999999</f>
        <v>878024.97499999905</v>
      </c>
      <c r="L235" s="26">
        <f>F235 * G235 * 210.420530999999</f>
        <v>210420.530999999</v>
      </c>
      <c r="M235" s="26">
        <f>F235 * G235 * 184.420285</f>
        <v>184420.285</v>
      </c>
      <c r="N235" s="27">
        <f>SUM(H235:M235)</f>
        <v>2204927.9349999982</v>
      </c>
      <c r="O235" s="28">
        <f>IF(O3&gt;0,N235/O3/12,0)</f>
        <v>0.5623018516121322</v>
      </c>
    </row>
    <row r="236" spans="2:15" s="18" customFormat="1" ht="13.8" x14ac:dyDescent="0.3">
      <c r="B236" s="19"/>
      <c r="C236" s="20" t="s">
        <v>567</v>
      </c>
      <c r="D236" s="32" t="s">
        <v>568</v>
      </c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</row>
    <row r="237" spans="2:15" ht="27.6" x14ac:dyDescent="0.3">
      <c r="B237" s="21">
        <v>137</v>
      </c>
      <c r="C237" s="22" t="s">
        <v>569</v>
      </c>
      <c r="D237" s="23" t="s">
        <v>570</v>
      </c>
      <c r="E237" s="23" t="s">
        <v>571</v>
      </c>
      <c r="F237" s="24">
        <v>12719.17</v>
      </c>
      <c r="G237" s="25">
        <v>1</v>
      </c>
      <c r="H237" s="26">
        <f>F237 * G237 * 217.306904</f>
        <v>2763963.4541496802</v>
      </c>
      <c r="I237" s="26">
        <f>F237 * G237 * 0</f>
        <v>0</v>
      </c>
      <c r="J237" s="26">
        <f>F237 * G237 * 0</f>
        <v>0</v>
      </c>
      <c r="K237" s="26">
        <f>F237 * G237 * 206.919634</f>
        <v>2631846.0011837799</v>
      </c>
      <c r="L237" s="26">
        <f>F237 * G237 * 49.341076</f>
        <v>627577.53362691996</v>
      </c>
      <c r="M237" s="26">
        <f>F237 * G237 * 43.461381</f>
        <v>552792.69337376999</v>
      </c>
      <c r="N237" s="27">
        <f>SUM(H237:M237)</f>
        <v>6576179.6823341493</v>
      </c>
      <c r="O237" s="28">
        <f>IF(O3&gt;0,N237/O3/12,0)</f>
        <v>1.6770607116964928</v>
      </c>
    </row>
    <row r="238" spans="2:15" s="18" customFormat="1" ht="13.8" x14ac:dyDescent="0.3">
      <c r="B238" s="19"/>
      <c r="C238" s="20" t="s">
        <v>572</v>
      </c>
      <c r="D238" s="32" t="s">
        <v>573</v>
      </c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</row>
    <row r="239" spans="2:15" x14ac:dyDescent="0.3">
      <c r="B239" s="21">
        <v>138</v>
      </c>
      <c r="C239" s="22" t="s">
        <v>574</v>
      </c>
      <c r="D239" s="23" t="s">
        <v>575</v>
      </c>
      <c r="E239" s="23" t="s">
        <v>576</v>
      </c>
      <c r="F239" s="24">
        <v>1</v>
      </c>
      <c r="G239" s="25">
        <v>1</v>
      </c>
      <c r="H239" s="26">
        <f>F239 * G239 * 8212.306596</f>
        <v>8212.3065960000004</v>
      </c>
      <c r="I239" s="26">
        <f>F239 * G239 * 443.77776</f>
        <v>443.77776</v>
      </c>
      <c r="J239" s="26">
        <f>F239 * G239 * 0</f>
        <v>0</v>
      </c>
      <c r="K239" s="26">
        <f>F239 * G239 * 7819.75834</f>
        <v>7819.7583400000003</v>
      </c>
      <c r="L239" s="26">
        <f>F239 * G239 * 1911.481074</f>
        <v>1911.481074</v>
      </c>
      <c r="M239" s="26">
        <f>F239 * G239 * 1642.461319</f>
        <v>1642.461319</v>
      </c>
      <c r="N239" s="27">
        <f>SUM(H239:M239)</f>
        <v>20029.785088999997</v>
      </c>
      <c r="O239" s="28">
        <f>IF(O3&gt;0,N239/O3/12,0)</f>
        <v>5.1080060550540317E-3</v>
      </c>
    </row>
    <row r="240" spans="2:15" s="18" customFormat="1" ht="13.8" x14ac:dyDescent="0.3">
      <c r="B240" s="19"/>
      <c r="C240" s="20" t="s">
        <v>577</v>
      </c>
      <c r="D240" s="36" t="s">
        <v>578</v>
      </c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</row>
    <row r="241" spans="2:15" ht="27.6" x14ac:dyDescent="0.3">
      <c r="B241" s="21">
        <v>139</v>
      </c>
      <c r="C241" s="22" t="s">
        <v>579</v>
      </c>
      <c r="D241" s="23" t="s">
        <v>580</v>
      </c>
      <c r="E241" s="23" t="s">
        <v>581</v>
      </c>
      <c r="F241" s="24">
        <v>2</v>
      </c>
      <c r="G241" s="25">
        <v>1</v>
      </c>
      <c r="H241" s="26">
        <f>F241 * G241 * 13140.007104</f>
        <v>26280.014208000001</v>
      </c>
      <c r="I241" s="26">
        <f>F241 * G241 * 0</f>
        <v>0</v>
      </c>
      <c r="J241" s="26">
        <f>F241 * G241 * 0</f>
        <v>0</v>
      </c>
      <c r="K241" s="26">
        <f>F241 * G241 * 12511.914765</f>
        <v>25023.829529999999</v>
      </c>
      <c r="L241" s="26">
        <f>F241 * G241 * 2983.531907</f>
        <v>5967.0638140000001</v>
      </c>
      <c r="M241" s="26">
        <f>F241 * G241 * 2628.001421</f>
        <v>5256.0028419999999</v>
      </c>
      <c r="N241" s="27">
        <f>SUM(H241:M241)</f>
        <v>62526.910393999999</v>
      </c>
      <c r="O241" s="28">
        <f>IF(O3&gt;0,N241/O3/12,0)</f>
        <v>1.5945644722457606E-2</v>
      </c>
    </row>
    <row r="242" spans="2:15" ht="27.6" x14ac:dyDescent="0.3">
      <c r="B242" s="21">
        <v>140</v>
      </c>
      <c r="C242" s="22" t="s">
        <v>582</v>
      </c>
      <c r="D242" s="23" t="s">
        <v>583</v>
      </c>
      <c r="E242" s="23" t="s">
        <v>316</v>
      </c>
      <c r="F242" s="24">
        <v>0.5</v>
      </c>
      <c r="G242" s="25">
        <v>1</v>
      </c>
      <c r="H242" s="26">
        <f>F242 * G242 * 4458.216696</f>
        <v>2229.1083480000002</v>
      </c>
      <c r="I242" s="26">
        <f>F242 * G242 * 0</f>
        <v>0</v>
      </c>
      <c r="J242" s="26">
        <f>F242 * G242 * 0</f>
        <v>0</v>
      </c>
      <c r="K242" s="26">
        <f>F242 * G242 * 4245.11393799999</f>
        <v>2122.5569689999952</v>
      </c>
      <c r="L242" s="26">
        <f>F242 * G242 * 1012.269754</f>
        <v>506.13487700000002</v>
      </c>
      <c r="M242" s="26">
        <f>F242 * G242 * 891.643339</f>
        <v>445.82166949999998</v>
      </c>
      <c r="N242" s="27">
        <f>SUM(H242:M242)</f>
        <v>5303.6218634999959</v>
      </c>
      <c r="O242" s="28">
        <f>IF(O3&gt;0,N242/O3/12,0)</f>
        <v>1.352532364780728E-3</v>
      </c>
    </row>
    <row r="243" spans="2:15" x14ac:dyDescent="0.3">
      <c r="B243" s="21">
        <v>141</v>
      </c>
      <c r="C243" s="22" t="s">
        <v>584</v>
      </c>
      <c r="D243" s="23" t="s">
        <v>585</v>
      </c>
      <c r="E243" s="23" t="s">
        <v>352</v>
      </c>
      <c r="F243" s="24"/>
      <c r="G243" s="25">
        <v>1</v>
      </c>
      <c r="H243" s="26">
        <f>F243 * G243 * 11732.1492</f>
        <v>0</v>
      </c>
      <c r="I243" s="26">
        <f>F243 * G243 * 14908.250296</f>
        <v>0</v>
      </c>
      <c r="J243" s="26">
        <f>F243 * G243 * 0</f>
        <v>0</v>
      </c>
      <c r="K243" s="26">
        <f>F243 * G243 * 11171.352468</f>
        <v>0</v>
      </c>
      <c r="L243" s="26">
        <f>F243 * G243 * 4236.68818</f>
        <v>0</v>
      </c>
      <c r="M243" s="26">
        <f>F243 * G243 * 2346.42984</f>
        <v>0</v>
      </c>
      <c r="N243" s="27">
        <f>SUM(H243:M243)</f>
        <v>0</v>
      </c>
      <c r="O243" s="28">
        <f>IF(O3&gt;0,N243/O3/12,0)</f>
        <v>0</v>
      </c>
    </row>
    <row r="244" spans="2:15" s="18" customFormat="1" ht="13.8" x14ac:dyDescent="0.3">
      <c r="B244" s="19"/>
      <c r="C244" s="20" t="s">
        <v>586</v>
      </c>
      <c r="D244" s="36" t="s">
        <v>587</v>
      </c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</row>
    <row r="245" spans="2:15" ht="27.6" x14ac:dyDescent="0.3">
      <c r="B245" s="21">
        <v>142</v>
      </c>
      <c r="C245" s="22" t="s">
        <v>588</v>
      </c>
      <c r="D245" s="23" t="s">
        <v>589</v>
      </c>
      <c r="E245" s="23" t="s">
        <v>309</v>
      </c>
      <c r="F245" s="24"/>
      <c r="G245" s="25">
        <v>1</v>
      </c>
      <c r="H245" s="26">
        <f>F245 * G245 * 7413.511446</f>
        <v>0</v>
      </c>
      <c r="I245" s="26">
        <f>F245 * G245 * 2186.242967</f>
        <v>0</v>
      </c>
      <c r="J245" s="26">
        <f>F245 * G245 * 0</f>
        <v>0</v>
      </c>
      <c r="K245" s="26">
        <f>F245 * G245 * 7059.14559899999</f>
        <v>0</v>
      </c>
      <c r="L245" s="26">
        <f>F245 * G245 * 1913.939043</f>
        <v>0</v>
      </c>
      <c r="M245" s="26">
        <f>F245 * G245 * 1482.702289</f>
        <v>0</v>
      </c>
      <c r="N245" s="27">
        <f>SUM(H245:M245)</f>
        <v>0</v>
      </c>
      <c r="O245" s="28">
        <f>IF(O3&gt;0,N245/O3/12,0)</f>
        <v>0</v>
      </c>
    </row>
    <row r="246" spans="2:15" s="18" customFormat="1" ht="13.8" x14ac:dyDescent="0.3">
      <c r="B246" s="19"/>
      <c r="C246" s="20" t="s">
        <v>590</v>
      </c>
      <c r="D246" s="35" t="s">
        <v>591</v>
      </c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</row>
    <row r="247" spans="2:15" s="18" customFormat="1" ht="13.8" x14ac:dyDescent="0.3">
      <c r="B247" s="19"/>
      <c r="C247" s="20" t="s">
        <v>592</v>
      </c>
      <c r="D247" s="32" t="s">
        <v>593</v>
      </c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</row>
    <row r="248" spans="2:15" ht="41.4" x14ac:dyDescent="0.3">
      <c r="B248" s="21">
        <v>143</v>
      </c>
      <c r="C248" s="22" t="s">
        <v>594</v>
      </c>
      <c r="D248" s="23" t="s">
        <v>595</v>
      </c>
      <c r="E248" s="23" t="s">
        <v>596</v>
      </c>
      <c r="F248" s="24">
        <v>54</v>
      </c>
      <c r="G248" s="25">
        <v>12</v>
      </c>
      <c r="H248" s="26">
        <f>F248 * G248 * 26.491312</f>
        <v>17166.370176</v>
      </c>
      <c r="I248" s="26">
        <f>F248 * G248 * 0</f>
        <v>0</v>
      </c>
      <c r="J248" s="26">
        <f>F248 * G248 * 0</f>
        <v>0</v>
      </c>
      <c r="K248" s="26">
        <f>F248 * G248 * 25.225027</f>
        <v>16345.817496</v>
      </c>
      <c r="L248" s="26">
        <f>F248 * G248 * 6.01504</f>
        <v>3897.7459199999998</v>
      </c>
      <c r="M248" s="26">
        <f>F248 * G248 * 5.298262</f>
        <v>3433.273776</v>
      </c>
      <c r="N248" s="27">
        <f>SUM(H248:M248)</f>
        <v>40843.207368000003</v>
      </c>
      <c r="O248" s="28">
        <f>IF(O3&gt;0,N248/O3/12,0)</f>
        <v>1.0415855667774783E-2</v>
      </c>
    </row>
    <row r="249" spans="2:15" ht="27.6" x14ac:dyDescent="0.3">
      <c r="B249" s="21">
        <v>144</v>
      </c>
      <c r="C249" s="22" t="s">
        <v>597</v>
      </c>
      <c r="D249" s="23" t="s">
        <v>598</v>
      </c>
      <c r="E249" s="23" t="s">
        <v>596</v>
      </c>
      <c r="F249" s="24">
        <v>54</v>
      </c>
      <c r="G249" s="25">
        <v>12</v>
      </c>
      <c r="H249" s="26">
        <f>F249 * G249 * 23.464298</f>
        <v>15204.865104</v>
      </c>
      <c r="I249" s="26">
        <f>F249 * G249 * 0</f>
        <v>0</v>
      </c>
      <c r="J249" s="26">
        <f>F249 * G249 * 0</f>
        <v>0</v>
      </c>
      <c r="K249" s="26">
        <f>F249 * G249 * 22.342705</f>
        <v>14478.072839999999</v>
      </c>
      <c r="L249" s="26">
        <f>F249 * G249 * 5.327735</f>
        <v>3452.3722799999996</v>
      </c>
      <c r="M249" s="26">
        <f>F249 * G249 * 4.69286</f>
        <v>3040.9732799999997</v>
      </c>
      <c r="N249" s="27">
        <f>SUM(H249:M249)</f>
        <v>36176.283503999999</v>
      </c>
      <c r="O249" s="28">
        <f>IF(O3&gt;0,N249/O3/12,0)</f>
        <v>9.2256943530195906E-3</v>
      </c>
    </row>
    <row r="250" spans="2:15" ht="27.6" x14ac:dyDescent="0.3">
      <c r="B250" s="21">
        <v>145</v>
      </c>
      <c r="C250" s="22" t="s">
        <v>599</v>
      </c>
      <c r="D250" s="23" t="s">
        <v>600</v>
      </c>
      <c r="E250" s="23" t="s">
        <v>596</v>
      </c>
      <c r="F250" s="24"/>
      <c r="G250" s="25">
        <v>1</v>
      </c>
      <c r="H250" s="26">
        <f>F250 * G250 * 190.737444</f>
        <v>0</v>
      </c>
      <c r="I250" s="26">
        <f>F250 * G250 * 0</f>
        <v>0</v>
      </c>
      <c r="J250" s="26">
        <f>F250 * G250 * 0</f>
        <v>0</v>
      </c>
      <c r="K250" s="26">
        <f>F250 * G250 * 181.620195</f>
        <v>0</v>
      </c>
      <c r="L250" s="26">
        <f>F250 * G250 * 43.308291</f>
        <v>0</v>
      </c>
      <c r="M250" s="26">
        <f>F250 * G250 * 38.147489</f>
        <v>0</v>
      </c>
      <c r="N250" s="27">
        <f>SUM(H250:M250)</f>
        <v>0</v>
      </c>
      <c r="O250" s="28">
        <f>IF(O3&gt;0,N250/O3/12,0)</f>
        <v>0</v>
      </c>
    </row>
    <row r="251" spans="2:15" ht="27.6" x14ac:dyDescent="0.3">
      <c r="B251" s="21">
        <v>146</v>
      </c>
      <c r="C251" s="22" t="s">
        <v>601</v>
      </c>
      <c r="D251" s="23" t="s">
        <v>602</v>
      </c>
      <c r="E251" s="23" t="s">
        <v>596</v>
      </c>
      <c r="F251" s="24">
        <v>54</v>
      </c>
      <c r="G251" s="25">
        <v>12</v>
      </c>
      <c r="H251" s="26">
        <f>F251 * G251 * 26.491312</f>
        <v>17166.370176</v>
      </c>
      <c r="I251" s="26">
        <f>F251 * G251 * 0</f>
        <v>0</v>
      </c>
      <c r="J251" s="26">
        <f>F251 * G251 * 0</f>
        <v>0</v>
      </c>
      <c r="K251" s="26">
        <f>F251 * G251 * 25.225027</f>
        <v>16345.817496</v>
      </c>
      <c r="L251" s="26">
        <f>F251 * G251 * 6.01504</f>
        <v>3897.7459199999998</v>
      </c>
      <c r="M251" s="26">
        <f>F251 * G251 * 5.298262</f>
        <v>3433.273776</v>
      </c>
      <c r="N251" s="27">
        <f>SUM(H251:M251)</f>
        <v>40843.207368000003</v>
      </c>
      <c r="O251" s="28">
        <f>IF(O3&gt;0,N251/O3/12,0)</f>
        <v>1.0415855667774783E-2</v>
      </c>
    </row>
    <row r="252" spans="2:15" s="18" customFormat="1" ht="13.8" x14ac:dyDescent="0.3">
      <c r="B252" s="19"/>
      <c r="C252" s="20" t="s">
        <v>603</v>
      </c>
      <c r="D252" s="32" t="s">
        <v>604</v>
      </c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</row>
    <row r="253" spans="2:15" ht="27.6" x14ac:dyDescent="0.3">
      <c r="B253" s="21">
        <v>147</v>
      </c>
      <c r="C253" s="22" t="s">
        <v>605</v>
      </c>
      <c r="D253" s="23" t="s">
        <v>606</v>
      </c>
      <c r="E253" s="23" t="s">
        <v>596</v>
      </c>
      <c r="F253" s="24">
        <v>23</v>
      </c>
      <c r="G253" s="25">
        <v>12</v>
      </c>
      <c r="H253" s="26">
        <f>F253 * G253 * 42.386099</f>
        <v>11698.563324000001</v>
      </c>
      <c r="I253" s="26">
        <f>F253 * G253 * 0</f>
        <v>0</v>
      </c>
      <c r="J253" s="26">
        <f>F253 * G253 * 0</f>
        <v>0</v>
      </c>
      <c r="K253" s="26">
        <f>F253 * G253 * 40.360043</f>
        <v>11139.371868</v>
      </c>
      <c r="L253" s="26">
        <f>F253 * G253 * 9.624065</f>
        <v>2656.2419399999999</v>
      </c>
      <c r="M253" s="26">
        <f>F253 * G253 * 8.47722</f>
        <v>2339.7127200000004</v>
      </c>
      <c r="N253" s="27">
        <f>SUM(H253:M253)</f>
        <v>27833.889852</v>
      </c>
      <c r="O253" s="28">
        <f>IF(O3&gt;0,N253/O3/12,0)</f>
        <v>7.0982128499123701E-3</v>
      </c>
    </row>
    <row r="254" spans="2:15" ht="41.4" x14ac:dyDescent="0.3">
      <c r="B254" s="21">
        <v>148</v>
      </c>
      <c r="C254" s="22" t="s">
        <v>607</v>
      </c>
      <c r="D254" s="23" t="s">
        <v>608</v>
      </c>
      <c r="E254" s="23" t="s">
        <v>609</v>
      </c>
      <c r="F254" s="24">
        <v>23</v>
      </c>
      <c r="G254" s="25">
        <v>2</v>
      </c>
      <c r="H254" s="26">
        <f>F254 * G254 * 201.792966</f>
        <v>9282.4764360000008</v>
      </c>
      <c r="I254" s="26">
        <f>F254 * G254 * 0</f>
        <v>0</v>
      </c>
      <c r="J254" s="26">
        <f>F254 * G254 * 0</f>
        <v>0</v>
      </c>
      <c r="K254" s="26">
        <f>F254 * G254 * 192.147261999999</f>
        <v>8838.7740519999534</v>
      </c>
      <c r="L254" s="26">
        <f>F254 * G254 * 45.818526</f>
        <v>2107.652196</v>
      </c>
      <c r="M254" s="26">
        <f>F254 * G254 * 40.358593</f>
        <v>1856.4952779999999</v>
      </c>
      <c r="N254" s="27">
        <f>SUM(H254:M254)</f>
        <v>22085.397961999952</v>
      </c>
      <c r="O254" s="28">
        <f>IF(O3&gt;0,N254/O3/12,0)</f>
        <v>5.6322295030578375E-3</v>
      </c>
    </row>
    <row r="255" spans="2:15" s="18" customFormat="1" ht="13.8" x14ac:dyDescent="0.3">
      <c r="B255" s="19"/>
      <c r="C255" s="20" t="s">
        <v>610</v>
      </c>
      <c r="D255" s="32" t="s">
        <v>611</v>
      </c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</row>
    <row r="256" spans="2:15" s="18" customFormat="1" ht="13.8" x14ac:dyDescent="0.3">
      <c r="B256" s="19"/>
      <c r="C256" s="20" t="s">
        <v>612</v>
      </c>
      <c r="D256" s="36" t="s">
        <v>613</v>
      </c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</row>
    <row r="257" spans="2:15" ht="41.4" x14ac:dyDescent="0.3">
      <c r="B257" s="21">
        <v>149</v>
      </c>
      <c r="C257" s="22" t="s">
        <v>614</v>
      </c>
      <c r="D257" s="23" t="s">
        <v>615</v>
      </c>
      <c r="E257" s="23" t="s">
        <v>616</v>
      </c>
      <c r="F257" s="24">
        <v>44</v>
      </c>
      <c r="G257" s="25">
        <v>12</v>
      </c>
      <c r="H257" s="26">
        <f>F257 * G257 * 40.55802</f>
        <v>21414.634559999999</v>
      </c>
      <c r="I257" s="26">
        <f>F257 * G257 * 0</f>
        <v>0</v>
      </c>
      <c r="J257" s="26">
        <f>F257 * G257 * 0</f>
        <v>0</v>
      </c>
      <c r="K257" s="26">
        <f>F257 * G257 * 38.619347</f>
        <v>20391.015216</v>
      </c>
      <c r="L257" s="26">
        <f>F257 * G257 * 9.208987</f>
        <v>4862.3451359999999</v>
      </c>
      <c r="M257" s="26">
        <f>F257 * G257 * 8.111604</f>
        <v>4282.9269119999999</v>
      </c>
      <c r="N257" s="27">
        <f>SUM(H257:M257)</f>
        <v>50950.921823999997</v>
      </c>
      <c r="O257" s="28">
        <f>IF(O3&gt;0,N257/O3/12,0)</f>
        <v>1.299353018672704E-2</v>
      </c>
    </row>
    <row r="258" spans="2:15" s="18" customFormat="1" ht="13.8" x14ac:dyDescent="0.3">
      <c r="B258" s="19"/>
      <c r="C258" s="20" t="s">
        <v>617</v>
      </c>
      <c r="D258" s="32" t="s">
        <v>618</v>
      </c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2:15" s="18" customFormat="1" ht="13.8" x14ac:dyDescent="0.3">
      <c r="B259" s="19"/>
      <c r="C259" s="20" t="s">
        <v>619</v>
      </c>
      <c r="D259" s="36" t="s">
        <v>620</v>
      </c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</row>
    <row r="260" spans="2:15" ht="41.4" x14ac:dyDescent="0.3">
      <c r="B260" s="21">
        <v>150</v>
      </c>
      <c r="C260" s="22" t="s">
        <v>621</v>
      </c>
      <c r="D260" s="23" t="s">
        <v>622</v>
      </c>
      <c r="E260" s="23" t="s">
        <v>616</v>
      </c>
      <c r="F260" s="24">
        <v>44</v>
      </c>
      <c r="G260" s="25">
        <v>0.3</v>
      </c>
      <c r="H260" s="26">
        <f>F260 * G260 * 42.386099</f>
        <v>559.49650680000002</v>
      </c>
      <c r="I260" s="26">
        <f>F260 * G260 * 0</f>
        <v>0</v>
      </c>
      <c r="J260" s="26">
        <f>F260 * G260 * 0</f>
        <v>0</v>
      </c>
      <c r="K260" s="26">
        <f>F260 * G260 * 40.360043</f>
        <v>532.75256759999991</v>
      </c>
      <c r="L260" s="26">
        <f>F260 * G260 * 9.624065</f>
        <v>127.03765799999999</v>
      </c>
      <c r="M260" s="26">
        <f>F260 * G260 * 8.47722</f>
        <v>111.899304</v>
      </c>
      <c r="N260" s="27">
        <f>SUM(H260:M260)</f>
        <v>1331.1860363999999</v>
      </c>
      <c r="O260" s="28">
        <f>IF(O3&gt;0,N260/O3/12,0)</f>
        <v>3.3947974499580897E-4</v>
      </c>
    </row>
    <row r="261" spans="2:15" ht="41.4" x14ac:dyDescent="0.3">
      <c r="B261" s="21">
        <v>151</v>
      </c>
      <c r="C261" s="22" t="s">
        <v>623</v>
      </c>
      <c r="D261" s="23" t="s">
        <v>624</v>
      </c>
      <c r="E261" s="23" t="s">
        <v>616</v>
      </c>
      <c r="F261" s="24">
        <v>44</v>
      </c>
      <c r="G261" s="25">
        <v>0.3</v>
      </c>
      <c r="H261" s="26">
        <f>F261 * G261 * 320.32922</f>
        <v>4228.3457040000003</v>
      </c>
      <c r="I261" s="26">
        <f>F261 * G261 * 0</f>
        <v>0</v>
      </c>
      <c r="J261" s="26">
        <f>F261 * G261 * 0</f>
        <v>0</v>
      </c>
      <c r="K261" s="26">
        <f>F261 * G261 * 305.017482999999</f>
        <v>4026.2307755999868</v>
      </c>
      <c r="L261" s="26">
        <f>F261 * G261 * 72.733024</f>
        <v>960.07591679999996</v>
      </c>
      <c r="M261" s="26">
        <f>F261 * G261 * 64.065844</f>
        <v>845.66914079999992</v>
      </c>
      <c r="N261" s="27">
        <f>SUM(H261:M261)</f>
        <v>10060.321537199989</v>
      </c>
      <c r="O261" s="28">
        <f>IF(O3&gt;0,N261/O3/12,0)</f>
        <v>2.5655883525195441E-3</v>
      </c>
    </row>
    <row r="262" spans="2:15" ht="41.4" x14ac:dyDescent="0.3">
      <c r="B262" s="21">
        <v>152</v>
      </c>
      <c r="C262" s="22" t="s">
        <v>625</v>
      </c>
      <c r="D262" s="23" t="s">
        <v>626</v>
      </c>
      <c r="E262" s="23" t="s">
        <v>616</v>
      </c>
      <c r="F262" s="24">
        <v>44</v>
      </c>
      <c r="G262" s="25">
        <v>12</v>
      </c>
      <c r="H262" s="26">
        <f>F262 * G262 * 486.69624</f>
        <v>256975.61471999998</v>
      </c>
      <c r="I262" s="26">
        <f>F262 * G262 * 0</f>
        <v>0</v>
      </c>
      <c r="J262" s="26">
        <f>F262 * G262 * 0</f>
        <v>0</v>
      </c>
      <c r="K262" s="26">
        <f>F262 * G262 * 463.432159999999</f>
        <v>244692.18047999946</v>
      </c>
      <c r="L262" s="26">
        <f>F262 * G262 * 110.507837</f>
        <v>58348.137935999999</v>
      </c>
      <c r="M262" s="26">
        <f>F262 * G262 * 97.339248</f>
        <v>51395.122944000002</v>
      </c>
      <c r="N262" s="27">
        <f>SUM(H262:M262)</f>
        <v>611411.05607999954</v>
      </c>
      <c r="O262" s="28">
        <f>IF(O3&gt;0,N262/O3/12,0)</f>
        <v>0.15592236075956523</v>
      </c>
    </row>
    <row r="263" spans="2:15" s="18" customFormat="1" ht="13.8" x14ac:dyDescent="0.3">
      <c r="B263" s="19"/>
      <c r="C263" s="20" t="s">
        <v>627</v>
      </c>
      <c r="D263" s="32" t="s">
        <v>628</v>
      </c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</row>
    <row r="264" spans="2:15" ht="27.6" x14ac:dyDescent="0.3">
      <c r="B264" s="21">
        <v>153</v>
      </c>
      <c r="C264" s="22" t="s">
        <v>629</v>
      </c>
      <c r="D264" s="23" t="s">
        <v>630</v>
      </c>
      <c r="E264" s="23" t="s">
        <v>631</v>
      </c>
      <c r="F264" s="24">
        <v>45</v>
      </c>
      <c r="G264" s="25">
        <v>0.3</v>
      </c>
      <c r="H264" s="26">
        <f>F264 * G264 * 394.720543</f>
        <v>5328.7273304999999</v>
      </c>
      <c r="I264" s="26">
        <f>F264 * G264 * 0</f>
        <v>0</v>
      </c>
      <c r="J264" s="26">
        <f>F264 * G264 * 0</f>
        <v>0</v>
      </c>
      <c r="K264" s="26">
        <f>F264 * G264 * 375.852901</f>
        <v>5074.0141635</v>
      </c>
      <c r="L264" s="26">
        <f>F264 * G264 * 89.624102</f>
        <v>1209.925377</v>
      </c>
      <c r="M264" s="26">
        <f>F264 * G264 * 78.944109</f>
        <v>1065.7454714999999</v>
      </c>
      <c r="N264" s="27">
        <f>SUM(H264:M264)</f>
        <v>12678.4123425</v>
      </c>
      <c r="O264" s="28">
        <f>IF(O3&gt;0,N264/O3/12,0)</f>
        <v>3.2332552109871405E-3</v>
      </c>
    </row>
    <row r="265" spans="2:15" ht="27.6" x14ac:dyDescent="0.3">
      <c r="B265" s="21">
        <v>154</v>
      </c>
      <c r="C265" s="22" t="s">
        <v>632</v>
      </c>
      <c r="D265" s="23" t="s">
        <v>633</v>
      </c>
      <c r="E265" s="23" t="s">
        <v>631</v>
      </c>
      <c r="F265" s="24">
        <v>44</v>
      </c>
      <c r="G265" s="25">
        <v>0.3</v>
      </c>
      <c r="H265" s="26">
        <f>F265 * G265 * 394.720543</f>
        <v>5210.3111675999999</v>
      </c>
      <c r="I265" s="26">
        <f>F265 * G265 * 0</f>
        <v>0</v>
      </c>
      <c r="J265" s="26">
        <f>F265 * G265 * 0</f>
        <v>0</v>
      </c>
      <c r="K265" s="26">
        <f>F265 * G265 * 375.852901</f>
        <v>4961.2582931999996</v>
      </c>
      <c r="L265" s="26">
        <f>F265 * G265 * 89.624102</f>
        <v>1183.0381464</v>
      </c>
      <c r="M265" s="26">
        <f>F265 * G265 * 78.944109</f>
        <v>1042.0622387999999</v>
      </c>
      <c r="N265" s="27">
        <f>SUM(H265:M265)</f>
        <v>12396.669845999999</v>
      </c>
      <c r="O265" s="28">
        <f>IF(O3&gt;0,N265/O3/12,0)</f>
        <v>3.1614050951874265E-3</v>
      </c>
    </row>
    <row r="266" spans="2:15" s="15" customFormat="1" ht="14.4" x14ac:dyDescent="0.3">
      <c r="B266" s="16"/>
      <c r="C266" s="17" t="s">
        <v>634</v>
      </c>
      <c r="D266" s="34" t="s">
        <v>635</v>
      </c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</row>
    <row r="267" spans="2:15" s="18" customFormat="1" ht="13.8" x14ac:dyDescent="0.3">
      <c r="B267" s="19"/>
      <c r="C267" s="20" t="s">
        <v>636</v>
      </c>
      <c r="D267" s="35" t="s">
        <v>637</v>
      </c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</row>
    <row r="268" spans="2:15" s="18" customFormat="1" ht="13.8" x14ac:dyDescent="0.3">
      <c r="B268" s="19"/>
      <c r="C268" s="20" t="s">
        <v>638</v>
      </c>
      <c r="D268" s="32" t="s">
        <v>639</v>
      </c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</row>
    <row r="269" spans="2:15" s="18" customFormat="1" ht="13.8" x14ac:dyDescent="0.3">
      <c r="B269" s="19"/>
      <c r="C269" s="20" t="s">
        <v>640</v>
      </c>
      <c r="D269" s="36" t="s">
        <v>641</v>
      </c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</row>
    <row r="270" spans="2:15" ht="41.4" x14ac:dyDescent="0.3">
      <c r="B270" s="21">
        <v>155</v>
      </c>
      <c r="C270" s="22" t="s">
        <v>642</v>
      </c>
      <c r="D270" s="23" t="s">
        <v>643</v>
      </c>
      <c r="E270" s="23" t="s">
        <v>644</v>
      </c>
      <c r="F270" s="24">
        <v>198.63200000000001</v>
      </c>
      <c r="G270" s="25">
        <v>104</v>
      </c>
      <c r="H270" s="26">
        <f>F270 * G270 * 211.011507</f>
        <v>4359018.3164760955</v>
      </c>
      <c r="I270" s="26">
        <f>F270 * G270 * 0</f>
        <v>0</v>
      </c>
      <c r="J270" s="26">
        <f>F270 * G270 * 0</f>
        <v>0</v>
      </c>
      <c r="K270" s="26">
        <f>F270 * G270 * 200.925156999999</f>
        <v>4150657.2416632748</v>
      </c>
      <c r="L270" s="26">
        <f>F270 * G270 * 47.9116609999999</f>
        <v>989746.0609662059</v>
      </c>
      <c r="M270" s="26">
        <f>F270 * G270 * 42.202301</f>
        <v>871803.65503212798</v>
      </c>
      <c r="N270" s="27">
        <f>SUM(H270:M270)</f>
        <v>10371225.274137706</v>
      </c>
      <c r="O270" s="28">
        <f>IF(O3&gt;0,N270/O3/12,0)</f>
        <v>2.6448751827955683</v>
      </c>
    </row>
    <row r="271" spans="2:15" ht="41.4" x14ac:dyDescent="0.3">
      <c r="B271" s="21">
        <v>156</v>
      </c>
      <c r="C271" s="22" t="s">
        <v>645</v>
      </c>
      <c r="D271" s="23" t="s">
        <v>646</v>
      </c>
      <c r="E271" s="23" t="s">
        <v>647</v>
      </c>
      <c r="F271" s="24">
        <v>98.7</v>
      </c>
      <c r="G271" s="25">
        <v>104</v>
      </c>
      <c r="H271" s="26">
        <f>F271 * G271 * 160.995555</f>
        <v>1652587.1729640001</v>
      </c>
      <c r="I271" s="26">
        <f>F271 * G271 * 0</f>
        <v>0</v>
      </c>
      <c r="J271" s="26">
        <f>F271 * G271 * 0</f>
        <v>0</v>
      </c>
      <c r="K271" s="26">
        <f>F271 * G271 * 153.299967999999</f>
        <v>1573593.51152639</v>
      </c>
      <c r="L271" s="26">
        <f>F271 * G271 * 36.555184</f>
        <v>375231.65272320004</v>
      </c>
      <c r="M271" s="26">
        <f>F271 * G271 * 32.199111</f>
        <v>330517.43459280004</v>
      </c>
      <c r="N271" s="27">
        <f>SUM(H271:M271)</f>
        <v>3931929.7718063905</v>
      </c>
      <c r="O271" s="28">
        <f>IF(O3&gt;0,N271/O3/12,0)</f>
        <v>1.0027227448118858</v>
      </c>
    </row>
    <row r="272" spans="2:15" s="18" customFormat="1" ht="13.8" x14ac:dyDescent="0.3">
      <c r="B272" s="19"/>
      <c r="C272" s="20" t="s">
        <v>648</v>
      </c>
      <c r="D272" s="36" t="s">
        <v>649</v>
      </c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</row>
    <row r="273" spans="2:15" ht="27.6" x14ac:dyDescent="0.3">
      <c r="B273" s="21">
        <v>157</v>
      </c>
      <c r="C273" s="22" t="s">
        <v>650</v>
      </c>
      <c r="D273" s="23" t="s">
        <v>651</v>
      </c>
      <c r="E273" s="23" t="s">
        <v>647</v>
      </c>
      <c r="F273" s="24">
        <v>198.63200000000001</v>
      </c>
      <c r="G273" s="25">
        <v>24</v>
      </c>
      <c r="H273" s="26">
        <f>F273 * G273 * 482.986665</f>
        <v>2302478.5738147199</v>
      </c>
      <c r="I273" s="26">
        <f>F273 * G273 * 75.30622</f>
        <v>358997.40218495997</v>
      </c>
      <c r="J273" s="26">
        <f>F273 * G273 * 0</f>
        <v>0</v>
      </c>
      <c r="K273" s="26">
        <f>F273 * G273 * 459.899902</f>
        <v>2192420.0960175358</v>
      </c>
      <c r="L273" s="26">
        <f>F273 * G273 * 117.610357999999</f>
        <v>560668.33512613922</v>
      </c>
      <c r="M273" s="26">
        <f>F273 * G273 * 96.597333</f>
        <v>460495.71476294397</v>
      </c>
      <c r="N273" s="27">
        <f>SUM(H273:M273)</f>
        <v>5875060.1219062982</v>
      </c>
      <c r="O273" s="28">
        <f>IF(O3&gt;0,N273/O3/12,0)</f>
        <v>1.4982608421986876</v>
      </c>
    </row>
    <row r="274" spans="2:15" ht="27.6" x14ac:dyDescent="0.3">
      <c r="B274" s="21">
        <v>158</v>
      </c>
      <c r="C274" s="22" t="s">
        <v>652</v>
      </c>
      <c r="D274" s="23" t="s">
        <v>653</v>
      </c>
      <c r="E274" s="23" t="s">
        <v>644</v>
      </c>
      <c r="F274" s="24">
        <v>98.7</v>
      </c>
      <c r="G274" s="25">
        <v>24</v>
      </c>
      <c r="H274" s="26">
        <f>F274 * G274 * 389.823904</f>
        <v>923414.86379520013</v>
      </c>
      <c r="I274" s="26">
        <f>F274 * G274 * 75.30622</f>
        <v>178385.37393600002</v>
      </c>
      <c r="J274" s="26">
        <f>F274 * G274 * 0</f>
        <v>0</v>
      </c>
      <c r="K274" s="26">
        <f>F274 * G274 * 371.190322</f>
        <v>879275.6347536</v>
      </c>
      <c r="L274" s="26">
        <f>F274 * G274 * 96.457091</f>
        <v>228487.55716080003</v>
      </c>
      <c r="M274" s="26">
        <f>F274 * G274 * 77.964781</f>
        <v>184682.97323280002</v>
      </c>
      <c r="N274" s="27">
        <f>SUM(H274:M274)</f>
        <v>2394246.4028784004</v>
      </c>
      <c r="O274" s="28">
        <f>IF(O3&gt;0,N274/O3/12,0)</f>
        <v>0.61058194428209855</v>
      </c>
    </row>
    <row r="275" spans="2:15" s="18" customFormat="1" ht="13.8" x14ac:dyDescent="0.3">
      <c r="B275" s="19"/>
      <c r="C275" s="20" t="s">
        <v>654</v>
      </c>
      <c r="D275" s="35" t="s">
        <v>655</v>
      </c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</row>
    <row r="276" spans="2:15" ht="27.6" x14ac:dyDescent="0.3">
      <c r="B276" s="21">
        <v>159</v>
      </c>
      <c r="C276" s="22" t="s">
        <v>656</v>
      </c>
      <c r="D276" s="23" t="s">
        <v>657</v>
      </c>
      <c r="E276" s="23" t="s">
        <v>33</v>
      </c>
      <c r="F276" s="24">
        <v>19.75</v>
      </c>
      <c r="G276" s="25">
        <v>2</v>
      </c>
      <c r="H276" s="26">
        <f>F276 * G276 * 193.194666</f>
        <v>7631.1893070000006</v>
      </c>
      <c r="I276" s="26">
        <f>F276 * G276 * 9.683791</f>
        <v>382.50974449999995</v>
      </c>
      <c r="J276" s="26">
        <f>F276 * G276 * 0</f>
        <v>0</v>
      </c>
      <c r="K276" s="26">
        <f>F276 * G276 * 183.959961</f>
        <v>7266.4184594999997</v>
      </c>
      <c r="L276" s="26">
        <f>F276 * G276 * 44.887861</f>
        <v>1773.0705095000001</v>
      </c>
      <c r="M276" s="26">
        <f>F276 * G276 * 38.638933</f>
        <v>1526.2378535</v>
      </c>
      <c r="N276" s="27">
        <f>SUM(H276:M276)</f>
        <v>18579.425874</v>
      </c>
      <c r="O276" s="28">
        <f>IF(O3&gt;0,N276/O3/12,0)</f>
        <v>4.7381347049968619E-3</v>
      </c>
    </row>
    <row r="277" spans="2:15" ht="27.6" x14ac:dyDescent="0.3">
      <c r="B277" s="21">
        <v>160</v>
      </c>
      <c r="C277" s="22" t="s">
        <v>658</v>
      </c>
      <c r="D277" s="23" t="s">
        <v>659</v>
      </c>
      <c r="E277" s="23" t="s">
        <v>660</v>
      </c>
      <c r="F277" s="24">
        <v>5.92</v>
      </c>
      <c r="G277" s="25">
        <v>2</v>
      </c>
      <c r="H277" s="26">
        <f>F277 * G277 * 486.635898</f>
        <v>5761.7690323199995</v>
      </c>
      <c r="I277" s="26">
        <f>F277 * G277 * 64.932615</f>
        <v>768.80216159999998</v>
      </c>
      <c r="J277" s="26">
        <f>F277 * G277 * 0</f>
        <v>0</v>
      </c>
      <c r="K277" s="26">
        <f>F277 * G277 * 463.374701999999</f>
        <v>5486.3564716799883</v>
      </c>
      <c r="L277" s="26">
        <f>F277 * G277 * 117.344527</f>
        <v>1389.3591996800001</v>
      </c>
      <c r="M277" s="26">
        <f>F277 * G277 * 97.32718</f>
        <v>1152.3538111999999</v>
      </c>
      <c r="N277" s="27">
        <f>SUM(H277:M277)</f>
        <v>14558.640676479989</v>
      </c>
      <c r="O277" s="28">
        <f>IF(O3&gt;0,N277/O3/12,0)</f>
        <v>3.7127520039970871E-3</v>
      </c>
    </row>
    <row r="278" spans="2:15" s="18" customFormat="1" ht="13.8" x14ac:dyDescent="0.3">
      <c r="B278" s="19"/>
      <c r="C278" s="20" t="s">
        <v>661</v>
      </c>
      <c r="D278" s="35" t="s">
        <v>662</v>
      </c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</row>
    <row r="279" spans="2:15" ht="27.6" x14ac:dyDescent="0.3">
      <c r="B279" s="21">
        <v>161</v>
      </c>
      <c r="C279" s="22" t="s">
        <v>663</v>
      </c>
      <c r="D279" s="23" t="s">
        <v>664</v>
      </c>
      <c r="E279" s="23" t="s">
        <v>665</v>
      </c>
      <c r="F279" s="24">
        <v>44.4</v>
      </c>
      <c r="G279" s="25">
        <v>2</v>
      </c>
      <c r="H279" s="26">
        <f>F279 * G279 * 490.070469</f>
        <v>43518.2576472</v>
      </c>
      <c r="I279" s="26">
        <f>F279 * G279 * 65.010635</f>
        <v>5772.944387999999</v>
      </c>
      <c r="J279" s="26">
        <f>F279 * G279 * 0</f>
        <v>0</v>
      </c>
      <c r="K279" s="26">
        <f>F279 * G279 * 466.645100999999</f>
        <v>41438.084968799907</v>
      </c>
      <c r="L279" s="26">
        <f>F279 * G279 * 118.132601</f>
        <v>10490.1749688</v>
      </c>
      <c r="M279" s="26">
        <f>F279 * G279 * 98.014094</f>
        <v>8703.6515471999992</v>
      </c>
      <c r="N279" s="27">
        <f>SUM(H279:M279)</f>
        <v>109923.1135199999</v>
      </c>
      <c r="O279" s="28">
        <f>IF(O3&gt;0,N279/O3/12,0)</f>
        <v>2.8032648725667575E-2</v>
      </c>
    </row>
    <row r="280" spans="2:15" ht="27.6" x14ac:dyDescent="0.3">
      <c r="B280" s="21">
        <v>162</v>
      </c>
      <c r="C280" s="22" t="s">
        <v>666</v>
      </c>
      <c r="D280" s="23" t="s">
        <v>667</v>
      </c>
      <c r="E280" s="23" t="s">
        <v>668</v>
      </c>
      <c r="F280" s="24"/>
      <c r="G280" s="25">
        <v>2</v>
      </c>
      <c r="H280" s="26">
        <f>F280 * G280 * 468.604395</f>
        <v>0</v>
      </c>
      <c r="I280" s="26">
        <f>F280 * G280 * 65.010635</f>
        <v>0</v>
      </c>
      <c r="J280" s="26">
        <f>F280 * G280 * 0</f>
        <v>0</v>
      </c>
      <c r="K280" s="26">
        <f>F280 * G280 * 446.205105</f>
        <v>0</v>
      </c>
      <c r="L280" s="26">
        <f>F280 * G280 * 113.258577</f>
        <v>0</v>
      </c>
      <c r="M280" s="26">
        <f>F280 * G280 * 93.720879</f>
        <v>0</v>
      </c>
      <c r="N280" s="27">
        <f>SUM(H280:M280)</f>
        <v>0</v>
      </c>
      <c r="O280" s="28">
        <f>IF(O3&gt;0,N280/O3/12,0)</f>
        <v>0</v>
      </c>
    </row>
    <row r="281" spans="2:15" ht="27.6" x14ac:dyDescent="0.3">
      <c r="B281" s="21">
        <v>163</v>
      </c>
      <c r="C281" s="22" t="s">
        <v>669</v>
      </c>
      <c r="D281" s="23" t="s">
        <v>670</v>
      </c>
      <c r="E281" s="23" t="s">
        <v>671</v>
      </c>
      <c r="F281" s="24">
        <v>60.47</v>
      </c>
      <c r="G281" s="25">
        <v>2</v>
      </c>
      <c r="H281" s="26">
        <f>F281 * G281 * 719.113479</f>
        <v>86969.584150259994</v>
      </c>
      <c r="I281" s="26">
        <f>F281 * G281 * 159.203269</f>
        <v>19254.043352860001</v>
      </c>
      <c r="J281" s="26">
        <f>F281 * G281 * 0</f>
        <v>0</v>
      </c>
      <c r="K281" s="26">
        <f>F281 * G281 * 684.739854</f>
        <v>82812.437942760007</v>
      </c>
      <c r="L281" s="26">
        <f>F281 * G281 * 180.075765</f>
        <v>21778.363019099997</v>
      </c>
      <c r="M281" s="26">
        <f>F281 * G281 * 143.822696</f>
        <v>17393.91685424</v>
      </c>
      <c r="N281" s="27">
        <f>SUM(H281:M281)</f>
        <v>228208.34531921998</v>
      </c>
      <c r="O281" s="28">
        <f>IF(O3&gt;0,N281/O3/12,0)</f>
        <v>5.8197809138981378E-2</v>
      </c>
    </row>
    <row r="282" spans="2:15" s="18" customFormat="1" ht="13.8" x14ac:dyDescent="0.3">
      <c r="B282" s="19"/>
      <c r="C282" s="20" t="s">
        <v>672</v>
      </c>
      <c r="D282" s="35" t="s">
        <v>673</v>
      </c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</row>
    <row r="283" spans="2:15" s="18" customFormat="1" ht="13.8" x14ac:dyDescent="0.3">
      <c r="B283" s="19"/>
      <c r="C283" s="20" t="s">
        <v>674</v>
      </c>
      <c r="D283" s="32" t="s">
        <v>675</v>
      </c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</row>
    <row r="284" spans="2:15" x14ac:dyDescent="0.3">
      <c r="B284" s="21">
        <v>164</v>
      </c>
      <c r="C284" s="22" t="s">
        <v>676</v>
      </c>
      <c r="D284" s="23" t="s">
        <v>677</v>
      </c>
      <c r="E284" s="23" t="s">
        <v>678</v>
      </c>
      <c r="F284" s="24">
        <v>15</v>
      </c>
      <c r="G284" s="25">
        <v>1</v>
      </c>
      <c r="H284" s="26">
        <f>F284 * G284 * 92.98668</f>
        <v>1394.8002000000001</v>
      </c>
      <c r="I284" s="26">
        <f>F284 * G284 * 56.6585</f>
        <v>849.87749999999994</v>
      </c>
      <c r="J284" s="26">
        <f>F284 * G284 * 0</f>
        <v>0</v>
      </c>
      <c r="K284" s="26">
        <f>F284 * G284 * 88.541917</f>
        <v>1328.128755</v>
      </c>
      <c r="L284" s="26">
        <f>F284 * G284 * 27.090757</f>
        <v>406.361355</v>
      </c>
      <c r="M284" s="26">
        <f>F284 * G284 * 18.597336</f>
        <v>278.96003999999999</v>
      </c>
      <c r="N284" s="27">
        <f>SUM(H284:M284)</f>
        <v>4258.1278499999999</v>
      </c>
      <c r="O284" s="28">
        <f>IF(O3&gt;0,N284/O3/12,0)</f>
        <v>1.085909945830583E-3</v>
      </c>
    </row>
    <row r="285" spans="2:15" ht="27.6" x14ac:dyDescent="0.3">
      <c r="B285" s="21">
        <v>165</v>
      </c>
      <c r="C285" s="22" t="s">
        <v>679</v>
      </c>
      <c r="D285" s="23" t="s">
        <v>680</v>
      </c>
      <c r="E285" s="23" t="s">
        <v>681</v>
      </c>
      <c r="F285" s="24"/>
      <c r="G285" s="25">
        <v>1</v>
      </c>
      <c r="H285" s="26">
        <f>F285 * G285 * 4240.192608</f>
        <v>0</v>
      </c>
      <c r="I285" s="26">
        <f>F285 * G285 * 0</f>
        <v>0</v>
      </c>
      <c r="J285" s="26">
        <f>F285 * G285 * 0</f>
        <v>0</v>
      </c>
      <c r="K285" s="26">
        <f>F285 * G285 * 4037.51140099999</f>
        <v>0</v>
      </c>
      <c r="L285" s="26">
        <f>F285 * G285 * 962.765836999999</f>
        <v>0</v>
      </c>
      <c r="M285" s="26">
        <f>F285 * G285 * 848.038522</f>
        <v>0</v>
      </c>
      <c r="N285" s="27">
        <f>SUM(H285:M285)</f>
        <v>0</v>
      </c>
      <c r="O285" s="28">
        <f>IF(O3&gt;0,N285/O3/12,0)</f>
        <v>0</v>
      </c>
    </row>
    <row r="286" spans="2:15" s="18" customFormat="1" ht="13.8" x14ac:dyDescent="0.3">
      <c r="B286" s="19"/>
      <c r="C286" s="20" t="s">
        <v>682</v>
      </c>
      <c r="D286" s="35" t="s">
        <v>683</v>
      </c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</row>
    <row r="287" spans="2:15" ht="27.6" x14ac:dyDescent="0.3">
      <c r="B287" s="21">
        <v>166</v>
      </c>
      <c r="C287" s="22" t="s">
        <v>684</v>
      </c>
      <c r="D287" s="23" t="s">
        <v>685</v>
      </c>
      <c r="E287" s="23" t="s">
        <v>686</v>
      </c>
      <c r="F287" s="24">
        <v>8.6999999999999993</v>
      </c>
      <c r="G287" s="25">
        <v>2</v>
      </c>
      <c r="H287" s="26">
        <f>F287 * G287 * 229.04301</f>
        <v>3985.3483739999997</v>
      </c>
      <c r="I287" s="26">
        <f t="shared" ref="I287:I292" si="9">F287 * G287 * 45.83252</f>
        <v>797.48584800000003</v>
      </c>
      <c r="J287" s="26">
        <f t="shared" ref="J287:J293" si="10">F287 * G287 * 0</f>
        <v>0</v>
      </c>
      <c r="K287" s="26">
        <f>F287 * G287 * 218.094755</f>
        <v>3794.8487369999993</v>
      </c>
      <c r="L287" s="26">
        <f>F287 * G287 * 56.841172</f>
        <v>989.03639279999993</v>
      </c>
      <c r="M287" s="26">
        <f>F287 * G287 * 45.808602</f>
        <v>797.06967479999992</v>
      </c>
      <c r="N287" s="27">
        <f t="shared" ref="N287:N293" si="11">SUM(H287:M287)</f>
        <v>10363.789026599998</v>
      </c>
      <c r="O287" s="28">
        <f>IF(O3&gt;0,N287/O3/12,0)</f>
        <v>2.6429787871387646E-3</v>
      </c>
    </row>
    <row r="288" spans="2:15" ht="27.6" x14ac:dyDescent="0.3">
      <c r="B288" s="21">
        <v>167</v>
      </c>
      <c r="C288" s="22" t="s">
        <v>687</v>
      </c>
      <c r="D288" s="23" t="s">
        <v>688</v>
      </c>
      <c r="E288" s="23" t="s">
        <v>689</v>
      </c>
      <c r="F288" s="24"/>
      <c r="G288" s="25">
        <v>2</v>
      </c>
      <c r="H288" s="26">
        <f>F288 * G288 * 468.604395</f>
        <v>0</v>
      </c>
      <c r="I288" s="26">
        <f t="shared" si="9"/>
        <v>0</v>
      </c>
      <c r="J288" s="26">
        <f t="shared" si="10"/>
        <v>0</v>
      </c>
      <c r="K288" s="26">
        <f>F288 * G288 * 446.205105</f>
        <v>0</v>
      </c>
      <c r="L288" s="26">
        <f>F288 * G288 * 111.235285</f>
        <v>0</v>
      </c>
      <c r="M288" s="26">
        <f>F288 * G288 * 93.720879</f>
        <v>0</v>
      </c>
      <c r="N288" s="27">
        <f t="shared" si="11"/>
        <v>0</v>
      </c>
      <c r="O288" s="28">
        <f>IF(O3&gt;0,N288/O3/12,0)</f>
        <v>0</v>
      </c>
    </row>
    <row r="289" spans="2:15" ht="41.4" x14ac:dyDescent="0.3">
      <c r="B289" s="21">
        <v>168</v>
      </c>
      <c r="C289" s="22" t="s">
        <v>690</v>
      </c>
      <c r="D289" s="23" t="s">
        <v>691</v>
      </c>
      <c r="E289" s="23" t="s">
        <v>692</v>
      </c>
      <c r="F289" s="24">
        <v>4.4000000000000004</v>
      </c>
      <c r="G289" s="25">
        <v>2</v>
      </c>
      <c r="H289" s="26">
        <f>F289 * G289 * 289.791999</f>
        <v>2550.1695912</v>
      </c>
      <c r="I289" s="26">
        <f t="shared" si="9"/>
        <v>403.32617600000003</v>
      </c>
      <c r="J289" s="26">
        <f t="shared" si="10"/>
        <v>0</v>
      </c>
      <c r="K289" s="26">
        <f>F289 * G289 * 275.939941</f>
        <v>2428.2714808000001</v>
      </c>
      <c r="L289" s="26">
        <f>F289 * G289 * 70.634661</f>
        <v>621.58501679999995</v>
      </c>
      <c r="M289" s="26">
        <f>F289 * G289 * 57.9584</f>
        <v>510.03392000000002</v>
      </c>
      <c r="N289" s="27">
        <f t="shared" si="11"/>
        <v>6513.3861847999997</v>
      </c>
      <c r="O289" s="28">
        <f>IF(O3&gt;0,N289/O3/12,0)</f>
        <v>1.6610470817849763E-3</v>
      </c>
    </row>
    <row r="290" spans="2:15" ht="27.6" x14ac:dyDescent="0.3">
      <c r="B290" s="21">
        <v>169</v>
      </c>
      <c r="C290" s="22" t="s">
        <v>693</v>
      </c>
      <c r="D290" s="23" t="s">
        <v>694</v>
      </c>
      <c r="E290" s="23" t="s">
        <v>695</v>
      </c>
      <c r="F290" s="24">
        <v>7.8</v>
      </c>
      <c r="G290" s="25">
        <v>2</v>
      </c>
      <c r="H290" s="26">
        <f>F290 * G290 * 390.038565</f>
        <v>6084.6016140000002</v>
      </c>
      <c r="I290" s="26">
        <f t="shared" si="9"/>
        <v>714.98731199999997</v>
      </c>
      <c r="J290" s="26">
        <f t="shared" si="10"/>
        <v>0</v>
      </c>
      <c r="K290" s="26">
        <f>F290 * G290 * 371.394721</f>
        <v>5793.7576476000004</v>
      </c>
      <c r="L290" s="26">
        <f>F290 * G290 * 93.396357</f>
        <v>1456.9831691999998</v>
      </c>
      <c r="M290" s="26">
        <f>F290 * G290 * 78.007713</f>
        <v>1216.9203227999999</v>
      </c>
      <c r="N290" s="27">
        <f t="shared" si="11"/>
        <v>15267.250065600001</v>
      </c>
      <c r="O290" s="28">
        <f>IF(O3&gt;0,N290/O3/12,0)</f>
        <v>3.8934619334451553E-3</v>
      </c>
    </row>
    <row r="291" spans="2:15" x14ac:dyDescent="0.3">
      <c r="B291" s="21">
        <v>170</v>
      </c>
      <c r="C291" s="22" t="s">
        <v>696</v>
      </c>
      <c r="D291" s="23" t="s">
        <v>697</v>
      </c>
      <c r="E291" s="23" t="s">
        <v>698</v>
      </c>
      <c r="F291" s="24">
        <v>5.32</v>
      </c>
      <c r="G291" s="25">
        <v>2</v>
      </c>
      <c r="H291" s="26">
        <f>F291 * G291 * 325.640343</f>
        <v>3464.8132495199998</v>
      </c>
      <c r="I291" s="26">
        <f t="shared" si="9"/>
        <v>487.65801280000005</v>
      </c>
      <c r="J291" s="26">
        <f t="shared" si="10"/>
        <v>0</v>
      </c>
      <c r="K291" s="26">
        <f>F291 * G291 * 310.074735</f>
        <v>3299.1951804</v>
      </c>
      <c r="L291" s="26">
        <f>F291 * G291 * 78.774282</f>
        <v>838.15836048000006</v>
      </c>
      <c r="M291" s="26">
        <f>F291 * G291 * 65.128069</f>
        <v>692.96265415999994</v>
      </c>
      <c r="N291" s="27">
        <f t="shared" si="11"/>
        <v>8782.7874573599984</v>
      </c>
      <c r="O291" s="28">
        <f>IF(O3&gt;0,N291/O3/12,0)</f>
        <v>2.2397909569726328E-3</v>
      </c>
    </row>
    <row r="292" spans="2:15" ht="41.4" x14ac:dyDescent="0.3">
      <c r="B292" s="21">
        <v>171</v>
      </c>
      <c r="C292" s="22" t="s">
        <v>699</v>
      </c>
      <c r="D292" s="23" t="s">
        <v>700</v>
      </c>
      <c r="E292" s="23" t="s">
        <v>701</v>
      </c>
      <c r="F292" s="24">
        <v>11.83</v>
      </c>
      <c r="G292" s="25">
        <v>2</v>
      </c>
      <c r="H292" s="26">
        <f>F292 * G292 * 611.783109</f>
        <v>14474.788358939999</v>
      </c>
      <c r="I292" s="26">
        <f t="shared" si="9"/>
        <v>1084.3974232</v>
      </c>
      <c r="J292" s="26">
        <f t="shared" si="10"/>
        <v>0</v>
      </c>
      <c r="K292" s="26">
        <f>F292 * G292 * 582.539876999999</f>
        <v>13782.893489819977</v>
      </c>
      <c r="L292" s="26">
        <f>F292 * G292 * 143.745029999999</f>
        <v>3401.0074097999764</v>
      </c>
      <c r="M292" s="26">
        <f>F292 * G292 * 122.356622</f>
        <v>2894.9576765199999</v>
      </c>
      <c r="N292" s="27">
        <f t="shared" si="11"/>
        <v>35638.044358279949</v>
      </c>
      <c r="O292" s="28">
        <f>IF(O3&gt;0,N292/O3/12,0)</f>
        <v>9.0884323303274447E-3</v>
      </c>
    </row>
    <row r="293" spans="2:15" x14ac:dyDescent="0.3">
      <c r="B293" s="21">
        <v>172</v>
      </c>
      <c r="C293" s="22" t="s">
        <v>702</v>
      </c>
      <c r="D293" s="23" t="s">
        <v>703</v>
      </c>
      <c r="E293" s="23" t="s">
        <v>704</v>
      </c>
      <c r="F293" s="24">
        <v>29.7</v>
      </c>
      <c r="G293" s="25">
        <v>2</v>
      </c>
      <c r="H293" s="26">
        <f>F293 * G293 * 225.393777</f>
        <v>13388.3903538</v>
      </c>
      <c r="I293" s="26">
        <f>F293 * G293 * 11.70864</f>
        <v>695.49321600000007</v>
      </c>
      <c r="J293" s="26">
        <f t="shared" si="10"/>
        <v>0</v>
      </c>
      <c r="K293" s="26">
        <f>F293 * G293 * 214.619954</f>
        <v>12748.4252676</v>
      </c>
      <c r="L293" s="26">
        <f>F293 * G293 * 52.412519</f>
        <v>3113.3036286000001</v>
      </c>
      <c r="M293" s="26">
        <f>F293 * G293 * 45.078755</f>
        <v>2677.6780469999999</v>
      </c>
      <c r="N293" s="27">
        <f t="shared" si="11"/>
        <v>32623.290513</v>
      </c>
      <c r="O293" s="28">
        <f>IF(O3&gt;0,N293/O3/12,0)</f>
        <v>8.3196082601858009E-3</v>
      </c>
    </row>
    <row r="294" spans="2:15" s="15" customFormat="1" ht="14.4" x14ac:dyDescent="0.3">
      <c r="B294" s="16"/>
      <c r="C294" s="17" t="s">
        <v>705</v>
      </c>
      <c r="D294" s="34" t="s">
        <v>706</v>
      </c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</row>
    <row r="295" spans="2:15" s="18" customFormat="1" ht="13.8" x14ac:dyDescent="0.3">
      <c r="B295" s="19"/>
      <c r="C295" s="20" t="s">
        <v>707</v>
      </c>
      <c r="D295" s="35" t="s">
        <v>708</v>
      </c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</row>
    <row r="296" spans="2:15" ht="27.6" x14ac:dyDescent="0.3">
      <c r="B296" s="21">
        <v>173</v>
      </c>
      <c r="C296" s="22" t="s">
        <v>709</v>
      </c>
      <c r="D296" s="23" t="s">
        <v>710</v>
      </c>
      <c r="E296" s="23" t="s">
        <v>711</v>
      </c>
      <c r="F296" s="24">
        <v>60.5</v>
      </c>
      <c r="G296" s="25">
        <v>123.5</v>
      </c>
      <c r="H296" s="26">
        <f>F296 * G296 * 330.39948</f>
        <v>2468662.3146899999</v>
      </c>
      <c r="I296" s="26">
        <f>F296 * G296 * 1.608528</f>
        <v>12018.519084</v>
      </c>
      <c r="J296" s="26">
        <f>F296 * G296 * 0</f>
        <v>0</v>
      </c>
      <c r="K296" s="26">
        <f>F296 * G296 * 314.606385</f>
        <v>2350660.2571237497</v>
      </c>
      <c r="L296" s="26">
        <f>F296 * G296 * 75.189247</f>
        <v>561795.25627224997</v>
      </c>
      <c r="M296" s="26">
        <f>F296 * G296 * 66.079896</f>
        <v>493732.46293800004</v>
      </c>
      <c r="N296" s="27">
        <f>SUM(H296:M296)</f>
        <v>5886868.8101080004</v>
      </c>
      <c r="O296" s="28">
        <f>IF(O3&gt;0,N296/O3/12,0)</f>
        <v>1.5012722999137116</v>
      </c>
    </row>
    <row r="297" spans="2:15" s="18" customFormat="1" ht="13.8" x14ac:dyDescent="0.3">
      <c r="B297" s="19"/>
      <c r="C297" s="20" t="s">
        <v>712</v>
      </c>
      <c r="D297" s="35" t="s">
        <v>713</v>
      </c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</row>
    <row r="298" spans="2:15" s="18" customFormat="1" ht="13.8" x14ac:dyDescent="0.3">
      <c r="B298" s="19"/>
      <c r="C298" s="20" t="s">
        <v>714</v>
      </c>
      <c r="D298" s="32" t="s">
        <v>715</v>
      </c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</row>
    <row r="299" spans="2:15" ht="27.6" x14ac:dyDescent="0.3">
      <c r="B299" s="21">
        <v>174</v>
      </c>
      <c r="C299" s="22" t="s">
        <v>716</v>
      </c>
      <c r="D299" s="23" t="s">
        <v>717</v>
      </c>
      <c r="E299" s="23" t="s">
        <v>718</v>
      </c>
      <c r="F299" s="24">
        <v>3.04</v>
      </c>
      <c r="G299" s="25">
        <v>2</v>
      </c>
      <c r="H299" s="26">
        <f>F299 * G299 * 349525.05948</f>
        <v>2125112.3616383998</v>
      </c>
      <c r="I299" s="26">
        <f>F299 * G299 * 1689.836496</f>
        <v>10274.205895679999</v>
      </c>
      <c r="J299" s="26">
        <f>F299 * G299 * 0</f>
        <v>0</v>
      </c>
      <c r="K299" s="26">
        <f>F299 * G299 * 332817.761637</f>
        <v>2023531.9907529601</v>
      </c>
      <c r="L299" s="26">
        <f>F299 * G299 * 79540.424134</f>
        <v>483605.77873472002</v>
      </c>
      <c r="M299" s="26">
        <f>F299 * G299 * 69905.011896</f>
        <v>425022.47232767998</v>
      </c>
      <c r="N299" s="27">
        <f>SUM(H299:M299)</f>
        <v>5067546.80934944</v>
      </c>
      <c r="O299" s="28">
        <f>IF(O3&gt;0,N299/O3/12,0)</f>
        <v>1.2923283835253077</v>
      </c>
    </row>
    <row r="300" spans="2:15" x14ac:dyDescent="0.3">
      <c r="B300" s="21">
        <v>175</v>
      </c>
      <c r="C300" s="22" t="s">
        <v>719</v>
      </c>
      <c r="D300" s="23" t="s">
        <v>720</v>
      </c>
      <c r="E300" s="23" t="s">
        <v>721</v>
      </c>
      <c r="F300" s="24">
        <v>1.04</v>
      </c>
      <c r="G300" s="25">
        <v>61</v>
      </c>
      <c r="H300" s="26">
        <f>F300 * G300 * 25389.32052</f>
        <v>1610698.4937888002</v>
      </c>
      <c r="I300" s="26">
        <f>F300 * G300 * 124.5312</f>
        <v>7900.2593280000001</v>
      </c>
      <c r="J300" s="26">
        <f>F300 * G300 * 0</f>
        <v>0</v>
      </c>
      <c r="K300" s="26">
        <f>F300 * G300 * 24175.710999</f>
        <v>1533707.10577656</v>
      </c>
      <c r="L300" s="26">
        <f>F300 * G300 * 5777.96353</f>
        <v>366554.00634320005</v>
      </c>
      <c r="M300" s="26">
        <f>F300 * G300 * 5077.864104</f>
        <v>322139.69875776005</v>
      </c>
      <c r="N300" s="27">
        <f>SUM(H300:M300)</f>
        <v>3840999.5639943201</v>
      </c>
      <c r="O300" s="28">
        <f>IF(O3&gt;0,N300/O3/12,0)</f>
        <v>0.97953367663029789</v>
      </c>
    </row>
    <row r="301" spans="2:15" x14ac:dyDescent="0.3">
      <c r="B301" s="21">
        <v>176</v>
      </c>
      <c r="C301" s="22" t="s">
        <v>722</v>
      </c>
      <c r="D301" s="23" t="s">
        <v>723</v>
      </c>
      <c r="E301" s="23" t="s">
        <v>724</v>
      </c>
      <c r="F301" s="24">
        <v>3040</v>
      </c>
      <c r="G301" s="25">
        <v>2</v>
      </c>
      <c r="H301" s="26">
        <f>F301 * G301 * 210.367525</f>
        <v>1279034.5519999999</v>
      </c>
      <c r="I301" s="26">
        <f>F301 * G301 * 31.1328</f>
        <v>189287.424</v>
      </c>
      <c r="J301" s="26">
        <f>F301 * G301 * 25.994925</f>
        <v>158049.144</v>
      </c>
      <c r="K301" s="26">
        <f>F301 * G301 * 200.311957</f>
        <v>1217896.6985599999</v>
      </c>
      <c r="L301" s="26">
        <f>F301 * G301 * 53.792416</f>
        <v>327057.88928</v>
      </c>
      <c r="M301" s="26">
        <f>F301 * G301 * 42.073505</f>
        <v>255806.91039999999</v>
      </c>
      <c r="N301" s="27">
        <f>SUM(H301:M301)</f>
        <v>3427132.6182399993</v>
      </c>
      <c r="O301" s="28">
        <f>IF(O3&gt;0,N301/O3/12,0)</f>
        <v>0.87398911609176366</v>
      </c>
    </row>
    <row r="302" spans="2:15" s="18" customFormat="1" ht="13.8" x14ac:dyDescent="0.3">
      <c r="B302" s="19"/>
      <c r="C302" s="20" t="s">
        <v>725</v>
      </c>
      <c r="D302" s="32" t="s">
        <v>726</v>
      </c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</row>
    <row r="303" spans="2:15" x14ac:dyDescent="0.3">
      <c r="B303" s="21">
        <v>177</v>
      </c>
      <c r="C303" s="22" t="s">
        <v>727</v>
      </c>
      <c r="D303" s="23" t="s">
        <v>728</v>
      </c>
      <c r="E303" s="23" t="s">
        <v>729</v>
      </c>
      <c r="F303" s="24">
        <v>2.6</v>
      </c>
      <c r="G303" s="25">
        <v>123.5</v>
      </c>
      <c r="H303" s="26">
        <f>F303 * G303 * 476.80404</f>
        <v>153101.777244</v>
      </c>
      <c r="I303" s="26">
        <f>F303 * G303 * 518.88</f>
        <v>166612.36800000002</v>
      </c>
      <c r="J303" s="26">
        <f>F303 * G303 * 0</f>
        <v>0</v>
      </c>
      <c r="K303" s="26">
        <f>F303 * G303 * 454.012806999999</f>
        <v>145783.51232769969</v>
      </c>
      <c r="L303" s="26">
        <f>F303 * G303 * 163.003582</f>
        <v>52340.450180200001</v>
      </c>
      <c r="M303" s="26">
        <f>F303 * G303 * 95.360808</f>
        <v>30620.355448800005</v>
      </c>
      <c r="N303" s="27">
        <f>SUM(H303:M303)</f>
        <v>548458.46320069965</v>
      </c>
      <c r="O303" s="28">
        <f>IF(O3&gt;0,N303/O3/12,0)</f>
        <v>0.13986815827162083</v>
      </c>
    </row>
    <row r="304" spans="2:15" s="18" customFormat="1" ht="13.8" x14ac:dyDescent="0.3">
      <c r="B304" s="19"/>
      <c r="C304" s="20" t="s">
        <v>730</v>
      </c>
      <c r="D304" s="35" t="s">
        <v>731</v>
      </c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</row>
    <row r="305" spans="2:15" x14ac:dyDescent="0.3">
      <c r="B305" s="21">
        <v>178</v>
      </c>
      <c r="C305" s="22" t="s">
        <v>732</v>
      </c>
      <c r="D305" s="23" t="s">
        <v>733</v>
      </c>
      <c r="E305" s="23" t="s">
        <v>734</v>
      </c>
      <c r="F305" s="24">
        <v>0.6</v>
      </c>
      <c r="G305" s="25">
        <v>1</v>
      </c>
      <c r="H305" s="26">
        <f>F305 * G305 * 34199.31384</f>
        <v>20519.588304000001</v>
      </c>
      <c r="I305" s="26">
        <f>F305 * G305 * 0</f>
        <v>0</v>
      </c>
      <c r="J305" s="26">
        <f>F305 * G305 * 427432.9662</f>
        <v>256459.77971999999</v>
      </c>
      <c r="K305" s="26">
        <f>F305 * G305 * 174337.880022</f>
        <v>104602.7280132</v>
      </c>
      <c r="L305" s="26">
        <f>F305 * G305 * 70958.041624</f>
        <v>42574.824974399999</v>
      </c>
      <c r="M305" s="26">
        <f>F305 * G305 * 36617.912208</f>
        <v>21970.747324799999</v>
      </c>
      <c r="N305" s="27">
        <f>SUM(H305:M305)</f>
        <v>446127.66833639995</v>
      </c>
      <c r="O305" s="28">
        <f>IF(O3&gt;0,N305/O3/12,0)</f>
        <v>0.11377170653922576</v>
      </c>
    </row>
    <row r="306" spans="2:15" s="18" customFormat="1" ht="13.8" x14ac:dyDescent="0.3">
      <c r="B306" s="19"/>
      <c r="C306" s="20" t="s">
        <v>735</v>
      </c>
      <c r="D306" s="35" t="s">
        <v>736</v>
      </c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</row>
    <row r="307" spans="2:15" x14ac:dyDescent="0.3">
      <c r="B307" s="21">
        <v>179</v>
      </c>
      <c r="C307" s="22" t="s">
        <v>737</v>
      </c>
      <c r="D307" s="23" t="s">
        <v>738</v>
      </c>
      <c r="E307" s="23" t="s">
        <v>739</v>
      </c>
      <c r="F307" s="24">
        <v>2.5</v>
      </c>
      <c r="G307" s="25">
        <v>123.5</v>
      </c>
      <c r="H307" s="26">
        <f>F307 * G307 * 455.0412</f>
        <v>140493.9705</v>
      </c>
      <c r="I307" s="26">
        <f>F307 * G307 * 1.504752</f>
        <v>464.59218000000004</v>
      </c>
      <c r="J307" s="26">
        <f>F307 * G307 * 0</f>
        <v>0</v>
      </c>
      <c r="K307" s="26">
        <f>F307 * G307 * 433.290230999999</f>
        <v>133778.35882124968</v>
      </c>
      <c r="L307" s="26">
        <f>F307 * G307 * 103.479086</f>
        <v>31949.1678025</v>
      </c>
      <c r="M307" s="26">
        <f>F307 * G307 * 91.00824</f>
        <v>28098.794099999999</v>
      </c>
      <c r="N307" s="27">
        <f>SUM(H307:M307)</f>
        <v>334784.88340374967</v>
      </c>
      <c r="O307" s="28">
        <f>IF(O3&gt;0,N307/O3/12,0)</f>
        <v>8.5377012482578188E-2</v>
      </c>
    </row>
    <row r="308" spans="2:15" s="18" customFormat="1" ht="13.8" x14ac:dyDescent="0.3">
      <c r="B308" s="19"/>
      <c r="C308" s="20" t="s">
        <v>740</v>
      </c>
      <c r="D308" s="32" t="s">
        <v>741</v>
      </c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</row>
    <row r="309" spans="2:15" x14ac:dyDescent="0.3">
      <c r="B309" s="21">
        <v>180</v>
      </c>
      <c r="C309" s="22" t="s">
        <v>742</v>
      </c>
      <c r="D309" s="23" t="s">
        <v>743</v>
      </c>
      <c r="E309" s="23" t="s">
        <v>744</v>
      </c>
      <c r="F309" s="24">
        <v>15</v>
      </c>
      <c r="G309" s="25">
        <v>1</v>
      </c>
      <c r="H309" s="26">
        <f>F309 * G309 * 90.427983</f>
        <v>1356.4197449999999</v>
      </c>
      <c r="I309" s="26">
        <f>F309 * G309 * 28.533557</f>
        <v>428.003355</v>
      </c>
      <c r="J309" s="26">
        <f>F309 * G309 * 0</f>
        <v>0</v>
      </c>
      <c r="K309" s="26">
        <f>F309 * G309 * 86.105525</f>
        <v>1291.5828750000001</v>
      </c>
      <c r="L309" s="26">
        <f>F309 * G309 * 23.542606</f>
        <v>353.13909000000001</v>
      </c>
      <c r="M309" s="26">
        <f>F309 * G309 * 18.085597</f>
        <v>271.28395499999999</v>
      </c>
      <c r="N309" s="27">
        <f>SUM(H309:M309)</f>
        <v>3700.42902</v>
      </c>
      <c r="O309" s="28">
        <f>IF(O3&gt;0,N309/O3/12,0)</f>
        <v>9.4368530448378084E-4</v>
      </c>
    </row>
    <row r="310" spans="2:15" x14ac:dyDescent="0.3">
      <c r="B310" s="21">
        <v>181</v>
      </c>
      <c r="C310" s="22" t="s">
        <v>745</v>
      </c>
      <c r="D310" s="23" t="s">
        <v>746</v>
      </c>
      <c r="E310" s="23" t="s">
        <v>747</v>
      </c>
      <c r="F310" s="24">
        <v>10</v>
      </c>
      <c r="G310" s="25">
        <v>1</v>
      </c>
      <c r="H310" s="26">
        <f>F310 * G310 * 127.079158</f>
        <v>1270.7915800000001</v>
      </c>
      <c r="I310" s="26">
        <f>F310 * G310 * 36.487134</f>
        <v>364.87133999999998</v>
      </c>
      <c r="J310" s="26">
        <f>F310 * G310 * 0</f>
        <v>0</v>
      </c>
      <c r="K310" s="26">
        <f>F310 * G310 * 121.004775</f>
        <v>1210.04775</v>
      </c>
      <c r="L310" s="26">
        <f>F310 * G310 * 32.703617</f>
        <v>327.03617000000003</v>
      </c>
      <c r="M310" s="26">
        <f>F310 * G310 * 25.415832</f>
        <v>254.15832</v>
      </c>
      <c r="N310" s="27">
        <f>SUM(H310:M310)</f>
        <v>3426.9051599999998</v>
      </c>
      <c r="O310" s="28">
        <f>IF(O3&gt;0,N310/O3/12,0)</f>
        <v>8.7393110957486751E-4</v>
      </c>
    </row>
    <row r="311" spans="2:15" x14ac:dyDescent="0.3">
      <c r="B311" s="21">
        <v>182</v>
      </c>
      <c r="C311" s="22" t="s">
        <v>748</v>
      </c>
      <c r="D311" s="23" t="s">
        <v>749</v>
      </c>
      <c r="E311" s="23" t="s">
        <v>747</v>
      </c>
      <c r="F311" s="24">
        <v>10</v>
      </c>
      <c r="G311" s="25">
        <v>1</v>
      </c>
      <c r="H311" s="26">
        <f>F311 * G311 * 129.225765</f>
        <v>1292.25765</v>
      </c>
      <c r="I311" s="26">
        <f>F311 * G311 * 37.391044</f>
        <v>373.91043999999999</v>
      </c>
      <c r="J311" s="26">
        <f>F311 * G311 * 0</f>
        <v>0</v>
      </c>
      <c r="K311" s="26">
        <f>F311 * G311 * 123.048773</f>
        <v>1230.4877300000001</v>
      </c>
      <c r="L311" s="26">
        <f>F311 * G311 * 33.286383</f>
        <v>332.86383000000001</v>
      </c>
      <c r="M311" s="26">
        <f>F311 * G311 * 25.845153</f>
        <v>258.45152999999999</v>
      </c>
      <c r="N311" s="27">
        <f>SUM(H311:M311)</f>
        <v>3487.97118</v>
      </c>
      <c r="O311" s="28">
        <f>IF(O3&gt;0,N311/O3/12,0)</f>
        <v>8.8950419728060423E-4</v>
      </c>
    </row>
    <row r="312" spans="2:15" x14ac:dyDescent="0.3">
      <c r="B312" s="21">
        <v>183</v>
      </c>
      <c r="C312" s="22" t="s">
        <v>750</v>
      </c>
      <c r="D312" s="23" t="s">
        <v>751</v>
      </c>
      <c r="E312" s="23" t="s">
        <v>752</v>
      </c>
      <c r="F312" s="24">
        <v>15</v>
      </c>
      <c r="G312" s="25">
        <v>1</v>
      </c>
      <c r="H312" s="26">
        <f>F312 * G312 * 129.440426</f>
        <v>1941.6063899999999</v>
      </c>
      <c r="I312" s="26">
        <f>F312 * G312 * 42.025012</f>
        <v>630.37518</v>
      </c>
      <c r="J312" s="26">
        <f>F312 * G312 * 0</f>
        <v>0</v>
      </c>
      <c r="K312" s="26">
        <f>F312 * G312 * 123.253174</f>
        <v>1848.7976100000001</v>
      </c>
      <c r="L312" s="26">
        <f>F312 * G312 * 33.824006</f>
        <v>507.36008999999996</v>
      </c>
      <c r="M312" s="26">
        <f>F312 * G312 * 25.888085</f>
        <v>388.32127500000001</v>
      </c>
      <c r="N312" s="27">
        <f>SUM(H312:M312)</f>
        <v>5316.4605449999999</v>
      </c>
      <c r="O312" s="28">
        <f>IF(O3&gt;0,N312/O3/12,0)</f>
        <v>1.3558064919143708E-3</v>
      </c>
    </row>
    <row r="313" spans="2:15" x14ac:dyDescent="0.3">
      <c r="B313" s="21">
        <v>184</v>
      </c>
      <c r="C313" s="22" t="s">
        <v>753</v>
      </c>
      <c r="D313" s="23" t="s">
        <v>754</v>
      </c>
      <c r="E313" s="23" t="s">
        <v>755</v>
      </c>
      <c r="F313" s="24">
        <v>25</v>
      </c>
      <c r="G313" s="25">
        <v>1</v>
      </c>
      <c r="H313" s="26">
        <f>F313 * G313 * 279.058962</f>
        <v>6976.4740499999998</v>
      </c>
      <c r="I313" s="26">
        <f>F313 * G313 * 24.961646</f>
        <v>624.04115000000002</v>
      </c>
      <c r="J313" s="26">
        <f>F313 * G313 * 0</f>
        <v>0</v>
      </c>
      <c r="K313" s="26">
        <f>F313 * G313 * 265.719943</f>
        <v>6642.9985749999996</v>
      </c>
      <c r="L313" s="26">
        <f>F313 * G313 * 65.995773</f>
        <v>1649.894325</v>
      </c>
      <c r="M313" s="26">
        <f>F313 * G313 * 55.811792</f>
        <v>1395.2947999999999</v>
      </c>
      <c r="N313" s="27">
        <f>SUM(H313:M313)</f>
        <v>17288.7029</v>
      </c>
      <c r="O313" s="28">
        <f>IF(O3&gt;0,N313/O3/12,0)</f>
        <v>4.4089738709043322E-3</v>
      </c>
    </row>
    <row r="314" spans="2:15" s="18" customFormat="1" ht="13.8" x14ac:dyDescent="0.3">
      <c r="B314" s="19"/>
      <c r="C314" s="20" t="s">
        <v>756</v>
      </c>
      <c r="D314" s="32" t="s">
        <v>757</v>
      </c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</row>
    <row r="315" spans="2:15" x14ac:dyDescent="0.3">
      <c r="B315" s="21">
        <v>185</v>
      </c>
      <c r="C315" s="22" t="s">
        <v>758</v>
      </c>
      <c r="D315" s="23" t="s">
        <v>759</v>
      </c>
      <c r="E315" s="23" t="s">
        <v>747</v>
      </c>
      <c r="F315" s="24">
        <v>10</v>
      </c>
      <c r="G315" s="25">
        <v>1</v>
      </c>
      <c r="H315" s="26">
        <f>F315 * G315 * 965.97333</f>
        <v>9659.7332999999999</v>
      </c>
      <c r="I315" s="26">
        <f>F315 * G315 * 543.177621</f>
        <v>5431.77621</v>
      </c>
      <c r="J315" s="26">
        <f>F315 * G315 * 8.156052</f>
        <v>81.560520000000011</v>
      </c>
      <c r="K315" s="26">
        <f>F315 * G315 * 919.799805</f>
        <v>9197.9980500000001</v>
      </c>
      <c r="L315" s="26">
        <f>F315 * G315 * 277.496805</f>
        <v>2774.9680499999999</v>
      </c>
      <c r="M315" s="26">
        <f>F315 * G315 * 193.194666</f>
        <v>1931.9466600000001</v>
      </c>
      <c r="N315" s="27">
        <f>SUM(H315:M315)</f>
        <v>29077.982790000002</v>
      </c>
      <c r="O315" s="28">
        <f>IF(O3&gt;0,N315/O3/12,0)</f>
        <v>7.4154820683346853E-3</v>
      </c>
    </row>
    <row r="316" spans="2:15" x14ac:dyDescent="0.3">
      <c r="B316" s="21">
        <v>186</v>
      </c>
      <c r="C316" s="22" t="s">
        <v>760</v>
      </c>
      <c r="D316" s="23" t="s">
        <v>761</v>
      </c>
      <c r="E316" s="23" t="s">
        <v>747</v>
      </c>
      <c r="F316" s="24">
        <v>10</v>
      </c>
      <c r="G316" s="25">
        <v>1</v>
      </c>
      <c r="H316" s="26">
        <f>F316 * G316 * 605.343287</f>
        <v>6053.4328700000005</v>
      </c>
      <c r="I316" s="26">
        <f>F316 * G316 * 354.977835</f>
        <v>3549.7783500000005</v>
      </c>
      <c r="J316" s="26">
        <f>F316 * G316 * 0</f>
        <v>0</v>
      </c>
      <c r="K316" s="26">
        <f>F316 * G316 * 576.407878</f>
        <v>5764.0787799999998</v>
      </c>
      <c r="L316" s="26">
        <f>F316 * G316 * 174.897653</f>
        <v>1748.9765299999999</v>
      </c>
      <c r="M316" s="26">
        <f>F316 * G316 * 121.068657</f>
        <v>1210.6865700000001</v>
      </c>
      <c r="N316" s="27">
        <f>SUM(H316:M316)</f>
        <v>18326.953100000002</v>
      </c>
      <c r="O316" s="28">
        <f>IF(O3&gt;0,N316/O3/12,0)</f>
        <v>4.6737489688245598E-3</v>
      </c>
    </row>
    <row r="317" spans="2:15" x14ac:dyDescent="0.3">
      <c r="B317" s="21">
        <v>187</v>
      </c>
      <c r="C317" s="22" t="s">
        <v>762</v>
      </c>
      <c r="D317" s="23" t="s">
        <v>763</v>
      </c>
      <c r="E317" s="23" t="s">
        <v>752</v>
      </c>
      <c r="F317" s="24">
        <v>5</v>
      </c>
      <c r="G317" s="25">
        <v>1</v>
      </c>
      <c r="H317" s="26">
        <f>F317 * G317 * 450.787554</f>
        <v>2253.93777</v>
      </c>
      <c r="I317" s="26">
        <f>F317 * G317 * 298.176173</f>
        <v>1490.8808650000001</v>
      </c>
      <c r="J317" s="26">
        <f>F317 * G317 * 0</f>
        <v>0</v>
      </c>
      <c r="K317" s="26">
        <f>F317 * G317 * 429.239909</f>
        <v>2146.1995449999999</v>
      </c>
      <c r="L317" s="26">
        <f>F317 * G317 * 133.812100999999</f>
        <v>669.06050499999492</v>
      </c>
      <c r="M317" s="26">
        <f>F317 * G317 * 90.157511</f>
        <v>450.787555</v>
      </c>
      <c r="N317" s="27">
        <f>SUM(H317:M317)</f>
        <v>7010.8662399999948</v>
      </c>
      <c r="O317" s="28">
        <f>IF(O3&gt;0,N317/O3/12,0)</f>
        <v>1.787914700331005E-3</v>
      </c>
    </row>
    <row r="318" spans="2:15" x14ac:dyDescent="0.3">
      <c r="B318" s="21">
        <v>188</v>
      </c>
      <c r="C318" s="22" t="s">
        <v>764</v>
      </c>
      <c r="D318" s="23" t="s">
        <v>765</v>
      </c>
      <c r="E318" s="23" t="s">
        <v>752</v>
      </c>
      <c r="F318" s="24">
        <v>45</v>
      </c>
      <c r="G318" s="25">
        <v>1</v>
      </c>
      <c r="H318" s="26">
        <f>F318 * G318 * 22.110056</f>
        <v>994.95252000000005</v>
      </c>
      <c r="I318" s="26">
        <f>F318 * G318 * 718.12507</f>
        <v>32315.628150000004</v>
      </c>
      <c r="J318" s="26">
        <f>F318 * G318 * 0</f>
        <v>0</v>
      </c>
      <c r="K318" s="26">
        <f>F318 * G318 * 21.053195</f>
        <v>947.39377499999989</v>
      </c>
      <c r="L318" s="26">
        <f>F318 * G318 * 80.78244</f>
        <v>3635.2097999999996</v>
      </c>
      <c r="M318" s="26">
        <f>F318 * G318 * 4.422011</f>
        <v>198.99049500000001</v>
      </c>
      <c r="N318" s="27">
        <f>SUM(H318:M318)</f>
        <v>38092.174739999995</v>
      </c>
      <c r="O318" s="28">
        <f>IF(O3&gt;0,N318/O3/12,0)</f>
        <v>9.7142859175734942E-3</v>
      </c>
    </row>
    <row r="319" spans="2:15" x14ac:dyDescent="0.3">
      <c r="B319" s="21">
        <v>189</v>
      </c>
      <c r="C319" s="22" t="s">
        <v>766</v>
      </c>
      <c r="D319" s="23" t="s">
        <v>767</v>
      </c>
      <c r="E319" s="23" t="s">
        <v>768</v>
      </c>
      <c r="F319" s="24">
        <v>45</v>
      </c>
      <c r="G319" s="25">
        <v>2</v>
      </c>
      <c r="H319" s="26">
        <f>F319 * G319 * 8.799112</f>
        <v>791.92007999999987</v>
      </c>
      <c r="I319" s="26">
        <f>F319 * G319 * 0</f>
        <v>0</v>
      </c>
      <c r="J319" s="26">
        <f>F319 * G319 * 0</f>
        <v>0</v>
      </c>
      <c r="K319" s="26">
        <f>F319 * G319 * 8.378515</f>
        <v>754.06635000000006</v>
      </c>
      <c r="L319" s="26">
        <f>F319 * G319 * 1.997901</f>
        <v>179.81109000000001</v>
      </c>
      <c r="M319" s="26">
        <f>F319 * G319 * 1.759822</f>
        <v>158.38398000000001</v>
      </c>
      <c r="N319" s="27">
        <f>SUM(H319:M319)</f>
        <v>1884.1814999999999</v>
      </c>
      <c r="O319" s="28">
        <f>IF(O3&gt;0,N319/O3/12,0)</f>
        <v>4.8050493143365496E-4</v>
      </c>
    </row>
    <row r="320" spans="2:15" s="18" customFormat="1" ht="13.8" x14ac:dyDescent="0.3">
      <c r="B320" s="19"/>
      <c r="C320" s="20" t="s">
        <v>769</v>
      </c>
      <c r="D320" s="35" t="s">
        <v>770</v>
      </c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</row>
    <row r="321" spans="2:15" ht="41.4" x14ac:dyDescent="0.3">
      <c r="B321" s="21">
        <v>190</v>
      </c>
      <c r="C321" s="22" t="s">
        <v>771</v>
      </c>
      <c r="D321" s="23" t="s">
        <v>772</v>
      </c>
      <c r="E321" s="23" t="s">
        <v>773</v>
      </c>
      <c r="F321" s="24">
        <v>6.05</v>
      </c>
      <c r="G321" s="25">
        <v>100</v>
      </c>
      <c r="H321" s="26">
        <f>F321 * G321 * 5276.49948</f>
        <v>3192282.1854000003</v>
      </c>
      <c r="I321" s="26">
        <f>F321 * G321 * 0</f>
        <v>0</v>
      </c>
      <c r="J321" s="26">
        <f>F321 * G321 * 0</f>
        <v>0</v>
      </c>
      <c r="K321" s="26">
        <f>F321 * G321 * 5024.282805</f>
        <v>3039691.097025</v>
      </c>
      <c r="L321" s="26">
        <f>F321 * G321 * 1198.06667</f>
        <v>724830.33534999995</v>
      </c>
      <c r="M321" s="26">
        <f>F321 * G321 * 1055.299896</f>
        <v>638456.43707999995</v>
      </c>
      <c r="N321" s="27">
        <f>SUM(H321:M321)</f>
        <v>7595260.0548550002</v>
      </c>
      <c r="O321" s="28">
        <f>IF(O3&gt;0,N321/O3/12,0)</f>
        <v>1.9369471103919025</v>
      </c>
    </row>
    <row r="322" spans="2:15" ht="41.4" x14ac:dyDescent="0.3">
      <c r="B322" s="21">
        <v>191</v>
      </c>
      <c r="C322" s="22" t="s">
        <v>774</v>
      </c>
      <c r="D322" s="23" t="s">
        <v>775</v>
      </c>
      <c r="E322" s="23" t="s">
        <v>773</v>
      </c>
      <c r="F322" s="24"/>
      <c r="G322" s="25">
        <v>35</v>
      </c>
      <c r="H322" s="26">
        <f>F322 * G322 * 6594.14052</f>
        <v>0</v>
      </c>
      <c r="I322" s="26">
        <f>F322 * G322 * 0</f>
        <v>0</v>
      </c>
      <c r="J322" s="26">
        <f>F322 * G322 * 0</f>
        <v>0</v>
      </c>
      <c r="K322" s="26">
        <f>F322 * G322 * 6278.94060299999</f>
        <v>0</v>
      </c>
      <c r="L322" s="26">
        <f>F322 * G322 * 1497.246423</f>
        <v>0</v>
      </c>
      <c r="M322" s="26">
        <f>F322 * G322 * 1318.828104</f>
        <v>0</v>
      </c>
      <c r="N322" s="27">
        <f>SUM(H322:M322)</f>
        <v>0</v>
      </c>
      <c r="O322" s="28">
        <f>IF(O3&gt;0,N322/O3/12,0)</f>
        <v>0</v>
      </c>
    </row>
    <row r="323" spans="2:15" s="18" customFormat="1" ht="13.8" x14ac:dyDescent="0.3">
      <c r="B323" s="19"/>
      <c r="C323" s="20" t="s">
        <v>776</v>
      </c>
      <c r="D323" s="35" t="s">
        <v>777</v>
      </c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</row>
    <row r="324" spans="2:15" ht="41.4" x14ac:dyDescent="0.3">
      <c r="B324" s="21">
        <v>192</v>
      </c>
      <c r="C324" s="22" t="s">
        <v>778</v>
      </c>
      <c r="D324" s="23" t="s">
        <v>779</v>
      </c>
      <c r="E324" s="23" t="s">
        <v>773</v>
      </c>
      <c r="F324" s="24">
        <v>6.05</v>
      </c>
      <c r="G324" s="25">
        <v>16</v>
      </c>
      <c r="H324" s="26">
        <f>F324 * G324 * 23410.88052</f>
        <v>2266173.2343359999</v>
      </c>
      <c r="I324" s="26">
        <f>F324 * G324 * 0</f>
        <v>0</v>
      </c>
      <c r="J324" s="26">
        <f>F324 * G324 * 0</f>
        <v>0</v>
      </c>
      <c r="K324" s="26">
        <f>F324 * G324 * 22291.840431</f>
        <v>2157850.1537207998</v>
      </c>
      <c r="L324" s="26">
        <f>F324 * G324 * 5315.606639</f>
        <v>514550.72265519993</v>
      </c>
      <c r="M324" s="26">
        <f>F324 * G324 * 4682.176104</f>
        <v>453234.64686719998</v>
      </c>
      <c r="N324" s="27">
        <f>SUM(H324:M324)</f>
        <v>5391808.757579199</v>
      </c>
      <c r="O324" s="28">
        <f>IF(O3&gt;0,N324/O3/12,0)</f>
        <v>1.375021831688706</v>
      </c>
    </row>
    <row r="325" spans="2:15" s="18" customFormat="1" ht="13.8" x14ac:dyDescent="0.3">
      <c r="B325" s="19"/>
      <c r="C325" s="20" t="s">
        <v>780</v>
      </c>
      <c r="D325" s="35" t="s">
        <v>781</v>
      </c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</row>
    <row r="326" spans="2:15" ht="41.4" x14ac:dyDescent="0.3">
      <c r="B326" s="21">
        <v>193</v>
      </c>
      <c r="C326" s="22" t="s">
        <v>782</v>
      </c>
      <c r="D326" s="23" t="s">
        <v>783</v>
      </c>
      <c r="E326" s="23" t="s">
        <v>773</v>
      </c>
      <c r="F326" s="24">
        <v>6.05</v>
      </c>
      <c r="G326" s="25">
        <v>5</v>
      </c>
      <c r="H326" s="26">
        <f>F326 * G326 * 147724.17948</f>
        <v>4468656.4292700002</v>
      </c>
      <c r="I326" s="26">
        <f>F326 * G326 * 0</f>
        <v>0</v>
      </c>
      <c r="J326" s="26">
        <f>F326 * G326 * 0</f>
        <v>0</v>
      </c>
      <c r="K326" s="26">
        <f>F326 * G326 * 140662.963701</f>
        <v>4255054.6519552497</v>
      </c>
      <c r="L326" s="26">
        <f>F326 * G326 * 33541.8237919999</f>
        <v>1014640.169707997</v>
      </c>
      <c r="M326" s="26">
        <f>F326 * G326 * 29544.835896</f>
        <v>893731.28585400002</v>
      </c>
      <c r="N326" s="27">
        <f>SUM(H326:M326)</f>
        <v>10632082.536787247</v>
      </c>
      <c r="O326" s="28">
        <f>IF(O3&gt;0,N326/O3/12,0)</f>
        <v>2.7113991355588176</v>
      </c>
    </row>
    <row r="327" spans="2:15" x14ac:dyDescent="0.3">
      <c r="B327" s="21">
        <v>194</v>
      </c>
      <c r="C327" s="22" t="s">
        <v>784</v>
      </c>
      <c r="D327" s="23" t="s">
        <v>785</v>
      </c>
      <c r="E327" s="23" t="s">
        <v>95</v>
      </c>
      <c r="F327" s="24">
        <v>605</v>
      </c>
      <c r="G327" s="25">
        <v>10</v>
      </c>
      <c r="H327" s="26">
        <f>F327 * G327 * 49.461</f>
        <v>299239.05</v>
      </c>
      <c r="I327" s="26">
        <f>F327 * G327 * 52.76205</f>
        <v>319210.40250000003</v>
      </c>
      <c r="J327" s="26">
        <f>F327 * G327 * 0</f>
        <v>0</v>
      </c>
      <c r="K327" s="26">
        <f>F327 * G327 * 47.096764</f>
        <v>284935.42220000003</v>
      </c>
      <c r="L327" s="26">
        <f>F327 * G327 * 16.796867</f>
        <v>101621.04535</v>
      </c>
      <c r="M327" s="26">
        <f>F327 * G327 * 9.8922</f>
        <v>59847.810000000005</v>
      </c>
      <c r="N327" s="27">
        <f>SUM(H327:M327)</f>
        <v>1064853.7300500001</v>
      </c>
      <c r="O327" s="28">
        <f>IF(O3&gt;0,N327/O3/12,0)</f>
        <v>0.27155954378309471</v>
      </c>
    </row>
    <row r="328" spans="2:15" x14ac:dyDescent="0.3">
      <c r="B328" s="21">
        <v>195</v>
      </c>
      <c r="C328" s="22" t="s">
        <v>786</v>
      </c>
      <c r="D328" s="23" t="s">
        <v>787</v>
      </c>
      <c r="E328" s="23" t="s">
        <v>788</v>
      </c>
      <c r="F328" s="24">
        <v>150</v>
      </c>
      <c r="G328" s="25">
        <v>2</v>
      </c>
      <c r="H328" s="26">
        <f>F328 * G328 * 20.180088</f>
        <v>6054.0264000000006</v>
      </c>
      <c r="I328" s="26">
        <f>F328 * G328 * 0</f>
        <v>0</v>
      </c>
      <c r="J328" s="26">
        <f>F328 * G328 * 0</f>
        <v>0</v>
      </c>
      <c r="K328" s="26">
        <f>F328 * G328 * 19.21548</f>
        <v>5764.6440000000002</v>
      </c>
      <c r="L328" s="26">
        <f>F328 * G328 * 4.582032</f>
        <v>1374.6096</v>
      </c>
      <c r="M328" s="26">
        <f>F328 * G328 * 4.036018</f>
        <v>1210.8054000000002</v>
      </c>
      <c r="N328" s="27">
        <f>SUM(H328:M328)</f>
        <v>14404.0854</v>
      </c>
      <c r="O328" s="28">
        <f>IF(O3&gt;0,N328/O3/12,0)</f>
        <v>3.6733372382074182E-3</v>
      </c>
    </row>
    <row r="329" spans="2:15" s="18" customFormat="1" ht="13.8" x14ac:dyDescent="0.3">
      <c r="B329" s="19"/>
      <c r="C329" s="20" t="s">
        <v>789</v>
      </c>
      <c r="D329" s="35" t="s">
        <v>790</v>
      </c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</row>
    <row r="330" spans="2:15" ht="27.6" x14ac:dyDescent="0.3">
      <c r="B330" s="21">
        <v>196</v>
      </c>
      <c r="C330" s="22" t="s">
        <v>791</v>
      </c>
      <c r="D330" s="23" t="s">
        <v>792</v>
      </c>
      <c r="E330" s="23" t="s">
        <v>793</v>
      </c>
      <c r="F330" s="24">
        <v>1437.6</v>
      </c>
      <c r="G330" s="25">
        <v>2</v>
      </c>
      <c r="H330" s="26">
        <f>F330 * G330 * 771.5916</f>
        <v>2218480.1683199997</v>
      </c>
      <c r="I330" s="26">
        <f>F330 * G330 * 0</f>
        <v>0</v>
      </c>
      <c r="J330" s="26">
        <f>F330 * G330 * 0</f>
        <v>0</v>
      </c>
      <c r="K330" s="26">
        <f>F330 * G330 * 734.709522</f>
        <v>2112436.8176543997</v>
      </c>
      <c r="L330" s="26">
        <f>F330 * G330 * 175.195351</f>
        <v>503721.67319519992</v>
      </c>
      <c r="M330" s="26">
        <f>F330 * G330 * 154.31832</f>
        <v>443696.03366399999</v>
      </c>
      <c r="N330" s="27">
        <f>SUM(H330:M330)</f>
        <v>5278334.6928335996</v>
      </c>
      <c r="O330" s="28">
        <f>IF(O3&gt;0,N330/O3/12,0)</f>
        <v>1.346083617562263</v>
      </c>
    </row>
    <row r="331" spans="2:15" x14ac:dyDescent="0.3">
      <c r="B331" s="21">
        <v>197</v>
      </c>
      <c r="C331" s="22" t="s">
        <v>794</v>
      </c>
      <c r="D331" s="23" t="s">
        <v>795</v>
      </c>
      <c r="E331" s="23" t="s">
        <v>796</v>
      </c>
      <c r="F331" s="24">
        <v>1437.6</v>
      </c>
      <c r="G331" s="25">
        <v>2</v>
      </c>
      <c r="H331" s="26">
        <f>F331 * G331 * 237.4128</f>
        <v>682609.28255999996</v>
      </c>
      <c r="I331" s="26">
        <f>F331 * G331 * 0</f>
        <v>0</v>
      </c>
      <c r="J331" s="26">
        <f>F331 * G331 * 0</f>
        <v>0</v>
      </c>
      <c r="K331" s="26">
        <f>F331 * G331 * 226.064468</f>
        <v>649980.55839359993</v>
      </c>
      <c r="L331" s="26">
        <f>F331 * G331 * 53.906262</f>
        <v>154991.2845024</v>
      </c>
      <c r="M331" s="26">
        <f>F331 * G331 * 47.48256</f>
        <v>136521.856512</v>
      </c>
      <c r="N331" s="27">
        <f>SUM(H331:M331)</f>
        <v>1624102.9819680001</v>
      </c>
      <c r="O331" s="28">
        <f>IF(O3&gt;0,N331/O3/12,0)</f>
        <v>0.41417957452173715</v>
      </c>
    </row>
    <row r="332" spans="2:15" s="18" customFormat="1" ht="13.8" x14ac:dyDescent="0.3">
      <c r="B332" s="19"/>
      <c r="C332" s="20" t="s">
        <v>797</v>
      </c>
      <c r="D332" s="35" t="s">
        <v>798</v>
      </c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</row>
    <row r="333" spans="2:15" ht="27.6" x14ac:dyDescent="0.3">
      <c r="B333" s="21">
        <v>198</v>
      </c>
      <c r="C333" s="22" t="s">
        <v>799</v>
      </c>
      <c r="D333" s="23" t="s">
        <v>800</v>
      </c>
      <c r="E333" s="23" t="s">
        <v>801</v>
      </c>
      <c r="F333" s="24">
        <v>35.499000000000002</v>
      </c>
      <c r="G333" s="25">
        <v>2</v>
      </c>
      <c r="H333" s="26">
        <f>F333 * G333 * 0</f>
        <v>0</v>
      </c>
      <c r="I333" s="26">
        <f>F333 * G333 * 0</f>
        <v>0</v>
      </c>
      <c r="J333" s="26">
        <f>F333 * G333 * 96.768837</f>
        <v>6870.393889326001</v>
      </c>
      <c r="K333" s="26">
        <f>F333 * G333 * 62.417035</f>
        <v>4431.4846509300005</v>
      </c>
      <c r="L333" s="26">
        <f>F333 * G333 * 18.177222</f>
        <v>1290.5464075560001</v>
      </c>
      <c r="M333" s="26">
        <f>F333 * G333 * 13.110068</f>
        <v>930.78860786400003</v>
      </c>
      <c r="N333" s="27">
        <f t="shared" ref="N333:N338" si="12">SUM(H333:M333)</f>
        <v>13523.213555676002</v>
      </c>
      <c r="O333" s="28">
        <f>IF(O3&gt;0,N333/O3/12,0)</f>
        <v>3.448696849179748E-3</v>
      </c>
    </row>
    <row r="334" spans="2:15" ht="27.6" x14ac:dyDescent="0.3">
      <c r="B334" s="21">
        <v>199</v>
      </c>
      <c r="C334" s="22" t="s">
        <v>802</v>
      </c>
      <c r="D334" s="23" t="s">
        <v>803</v>
      </c>
      <c r="E334" s="23" t="s">
        <v>804</v>
      </c>
      <c r="F334" s="24">
        <v>63.75</v>
      </c>
      <c r="G334" s="25">
        <v>123.5</v>
      </c>
      <c r="H334" s="26">
        <f>F334 * G334 * 273.02472</f>
        <v>2149557.74865</v>
      </c>
      <c r="I334" s="26">
        <f>F334 * G334 * 0</f>
        <v>0</v>
      </c>
      <c r="J334" s="26">
        <f>F334 * G334 * 0</f>
        <v>0</v>
      </c>
      <c r="K334" s="26">
        <f>F334 * G334 * 259.974138</f>
        <v>2046808.8852412498</v>
      </c>
      <c r="L334" s="26">
        <f>F334 * G334 * 61.9922009999999</f>
        <v>488072.34749812423</v>
      </c>
      <c r="M334" s="26">
        <f>F334 * G334 * 54.604944</f>
        <v>429911.54973000003</v>
      </c>
      <c r="N334" s="27">
        <f t="shared" si="12"/>
        <v>5114350.5311193746</v>
      </c>
      <c r="O334" s="28">
        <f>IF(O3&gt;0,N334/O3/12,0)</f>
        <v>1.304264292629554</v>
      </c>
    </row>
    <row r="335" spans="2:15" ht="27.6" x14ac:dyDescent="0.3">
      <c r="B335" s="21">
        <v>200</v>
      </c>
      <c r="C335" s="22" t="s">
        <v>805</v>
      </c>
      <c r="D335" s="23" t="s">
        <v>806</v>
      </c>
      <c r="E335" s="23" t="s">
        <v>804</v>
      </c>
      <c r="F335" s="24">
        <v>63.75</v>
      </c>
      <c r="G335" s="25">
        <v>123.5</v>
      </c>
      <c r="H335" s="26">
        <f>F335 * G335 * 50.45022</f>
        <v>397200.88833749999</v>
      </c>
      <c r="I335" s="26">
        <f>F335 * G335 * 0.243874</f>
        <v>1920.0504862499999</v>
      </c>
      <c r="J335" s="26">
        <f>F335 * G335 * 0</f>
        <v>0</v>
      </c>
      <c r="K335" s="26">
        <f>F335 * G335 * 48.0386989999999</f>
        <v>378214.68206437421</v>
      </c>
      <c r="L335" s="26">
        <f>F335 * G335 * 11.480809</f>
        <v>90389.844358125003</v>
      </c>
      <c r="M335" s="26">
        <f>F335 * G335 * 10.090044</f>
        <v>79440.1776675</v>
      </c>
      <c r="N335" s="27">
        <f t="shared" si="12"/>
        <v>947165.64291374921</v>
      </c>
      <c r="O335" s="28">
        <f>IF(O3&gt;0,N335/O3/12,0)</f>
        <v>0.24154666750766038</v>
      </c>
    </row>
    <row r="336" spans="2:15" x14ac:dyDescent="0.3">
      <c r="B336" s="21">
        <v>201</v>
      </c>
      <c r="C336" s="22" t="s">
        <v>807</v>
      </c>
      <c r="D336" s="23" t="s">
        <v>808</v>
      </c>
      <c r="E336" s="23" t="s">
        <v>804</v>
      </c>
      <c r="F336" s="24">
        <v>4</v>
      </c>
      <c r="G336" s="25">
        <v>104</v>
      </c>
      <c r="H336" s="26">
        <f>F336 * G336 * 1187.064</f>
        <v>493818.62400000001</v>
      </c>
      <c r="I336" s="26">
        <f>F336 * G336 * 0</f>
        <v>0</v>
      </c>
      <c r="J336" s="26">
        <f>F336 * G336 * 0</f>
        <v>0</v>
      </c>
      <c r="K336" s="26">
        <f>F336 * G336 * 1130.322341</f>
        <v>470214.09385599999</v>
      </c>
      <c r="L336" s="26">
        <f>F336 * G336 * 269.53131</f>
        <v>112125.02496000001</v>
      </c>
      <c r="M336" s="26">
        <f>F336 * G336 * 237.4128</f>
        <v>98763.724799999996</v>
      </c>
      <c r="N336" s="27">
        <f t="shared" si="12"/>
        <v>1174921.467616</v>
      </c>
      <c r="O336" s="28">
        <f>IF(O3&gt;0,N336/O3/12,0)</f>
        <v>0.29962907460706695</v>
      </c>
    </row>
    <row r="337" spans="2:15" x14ac:dyDescent="0.3">
      <c r="B337" s="21">
        <v>202</v>
      </c>
      <c r="C337" s="22" t="s">
        <v>809</v>
      </c>
      <c r="D337" s="23" t="s">
        <v>810</v>
      </c>
      <c r="E337" s="23" t="s">
        <v>724</v>
      </c>
      <c r="F337" s="24">
        <v>4</v>
      </c>
      <c r="G337" s="25">
        <v>52</v>
      </c>
      <c r="H337" s="26">
        <f>F337 * G337 * 480.76092</f>
        <v>99998.271359999999</v>
      </c>
      <c r="I337" s="26">
        <f>F337 * G337 * 2.33496</f>
        <v>485.67168000000004</v>
      </c>
      <c r="J337" s="26">
        <f>F337 * G337 * 0</f>
        <v>0</v>
      </c>
      <c r="K337" s="26">
        <f>F337 * G337 * 457.780548</f>
        <v>95218.353984000001</v>
      </c>
      <c r="L337" s="26">
        <f>F337 * G337 * 109.406519</f>
        <v>22756.555952000002</v>
      </c>
      <c r="M337" s="26">
        <f>F337 * G337 * 96.152184</f>
        <v>19999.654272</v>
      </c>
      <c r="N337" s="27">
        <f t="shared" si="12"/>
        <v>238458.50724800001</v>
      </c>
      <c r="O337" s="28">
        <f>IF(O3&gt;0,N337/O3/12,0)</f>
        <v>6.0811810685420679E-2</v>
      </c>
    </row>
    <row r="338" spans="2:15" x14ac:dyDescent="0.3">
      <c r="B338" s="21">
        <v>203</v>
      </c>
      <c r="C338" s="22" t="s">
        <v>811</v>
      </c>
      <c r="D338" s="23" t="s">
        <v>812</v>
      </c>
      <c r="E338" s="23" t="s">
        <v>813</v>
      </c>
      <c r="F338" s="24">
        <v>6</v>
      </c>
      <c r="G338" s="25">
        <v>3</v>
      </c>
      <c r="H338" s="26">
        <f>F338 * G338 * 61.007176</f>
        <v>1098.1291679999999</v>
      </c>
      <c r="I338" s="26">
        <f>F338 * G338 * 0</f>
        <v>0</v>
      </c>
      <c r="J338" s="26">
        <f>F338 * G338 * 0</f>
        <v>0</v>
      </c>
      <c r="K338" s="26">
        <f>F338 * G338 * 58.0910329999999</f>
        <v>1045.6385939999982</v>
      </c>
      <c r="L338" s="26">
        <f>F338 * G338 * 13.852112</f>
        <v>249.33801600000001</v>
      </c>
      <c r="M338" s="26">
        <f>F338 * G338 * 12.201435</f>
        <v>219.62583000000001</v>
      </c>
      <c r="N338" s="27">
        <f t="shared" si="12"/>
        <v>2612.7316079999982</v>
      </c>
      <c r="O338" s="28">
        <f>IF(O3&gt;0,N338/O3/12,0)</f>
        <v>6.6630015322652423E-4</v>
      </c>
    </row>
    <row r="339" spans="2:15" s="15" customFormat="1" ht="14.4" x14ac:dyDescent="0.3">
      <c r="B339" s="16"/>
      <c r="C339" s="17" t="s">
        <v>814</v>
      </c>
      <c r="D339" s="34" t="s">
        <v>815</v>
      </c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</row>
    <row r="340" spans="2:15" s="18" customFormat="1" ht="13.8" x14ac:dyDescent="0.3">
      <c r="B340" s="19"/>
      <c r="C340" s="20" t="s">
        <v>816</v>
      </c>
      <c r="D340" s="35" t="s">
        <v>817</v>
      </c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</row>
    <row r="341" spans="2:15" x14ac:dyDescent="0.3">
      <c r="B341" s="21">
        <v>204</v>
      </c>
      <c r="C341" s="22" t="s">
        <v>818</v>
      </c>
      <c r="D341" s="23" t="s">
        <v>819</v>
      </c>
      <c r="E341" s="23" t="s">
        <v>820</v>
      </c>
      <c r="F341" s="24">
        <v>600</v>
      </c>
      <c r="G341" s="25">
        <v>1</v>
      </c>
      <c r="H341" s="26">
        <f>F341 * G341 * 70.838044</f>
        <v>42502.826399999998</v>
      </c>
      <c r="I341" s="26">
        <f>F341 * G341 * 213.267294</f>
        <v>127960.37639999999</v>
      </c>
      <c r="J341" s="26">
        <f>F341 * G341 * 0</f>
        <v>0</v>
      </c>
      <c r="K341" s="26">
        <f>F341 * G341 * 67.451986</f>
        <v>40471.191600000006</v>
      </c>
      <c r="L341" s="26">
        <f>F341 * G341 * 38.583981</f>
        <v>23150.388600000002</v>
      </c>
      <c r="M341" s="26">
        <f>F341 * G341 * 14.167609</f>
        <v>8500.5653999999995</v>
      </c>
      <c r="N341" s="27">
        <f>SUM(H341:M341)</f>
        <v>242585.34839999999</v>
      </c>
      <c r="O341" s="28">
        <f>IF(O3&gt;0,N341/O3/12,0)</f>
        <v>6.186423983026651E-2</v>
      </c>
    </row>
    <row r="342" spans="2:15" x14ac:dyDescent="0.3">
      <c r="B342" s="21">
        <v>205</v>
      </c>
      <c r="C342" s="22" t="s">
        <v>821</v>
      </c>
      <c r="D342" s="23" t="s">
        <v>822</v>
      </c>
      <c r="E342" s="23" t="s">
        <v>820</v>
      </c>
      <c r="F342" s="24">
        <v>300</v>
      </c>
      <c r="G342" s="25">
        <v>1</v>
      </c>
      <c r="H342" s="26">
        <f>F342 * G342 * 50.659935</f>
        <v>15197.9805</v>
      </c>
      <c r="I342" s="26">
        <f>F342 * G342 * 4.502763</f>
        <v>1350.8289</v>
      </c>
      <c r="J342" s="26">
        <f>F342 * G342 * 0</f>
        <v>0</v>
      </c>
      <c r="K342" s="26">
        <f>F342 * G342 * 48.23839</f>
        <v>14471.517000000002</v>
      </c>
      <c r="L342" s="26">
        <f>F342 * G342 * 11.977739</f>
        <v>3593.3217</v>
      </c>
      <c r="M342" s="26">
        <f>F342 * G342 * 10.131987</f>
        <v>3039.5961000000002</v>
      </c>
      <c r="N342" s="27">
        <f>SUM(H342:M342)</f>
        <v>37653.244200000001</v>
      </c>
      <c r="O342" s="28">
        <f>IF(O3&gt;0,N342/O3/12,0)</f>
        <v>9.6023496263898511E-3</v>
      </c>
    </row>
    <row r="343" spans="2:15" x14ac:dyDescent="0.3">
      <c r="B343" s="21">
        <v>206</v>
      </c>
      <c r="C343" s="22" t="s">
        <v>823</v>
      </c>
      <c r="D343" s="23" t="s">
        <v>824</v>
      </c>
      <c r="E343" s="23" t="s">
        <v>825</v>
      </c>
      <c r="F343" s="24">
        <v>15</v>
      </c>
      <c r="G343" s="25">
        <v>1</v>
      </c>
      <c r="H343" s="26">
        <f>F343 * G343 * 22887.695911</f>
        <v>343315.43866499997</v>
      </c>
      <c r="I343" s="26">
        <f>F343 * G343 * 58489.99177</f>
        <v>877349.87655000004</v>
      </c>
      <c r="J343" s="26">
        <f>F343 * G343 * 8957.011671</f>
        <v>134355.17506500002</v>
      </c>
      <c r="K343" s="26">
        <f>F343 * G343 * 25697.822202</f>
        <v>385467.33302999998</v>
      </c>
      <c r="L343" s="26">
        <f>F343 * G343 * 12810.874469</f>
        <v>192163.117035</v>
      </c>
      <c r="M343" s="26">
        <f>F343 * G343 * 5397.5682</f>
        <v>80963.523000000001</v>
      </c>
      <c r="N343" s="27">
        <f>SUM(H343:M343)</f>
        <v>2013614.4633450001</v>
      </c>
      <c r="O343" s="28">
        <f>IF(O3&gt;0,N343/O3/12,0)</f>
        <v>0.5135129920569782</v>
      </c>
    </row>
    <row r="344" spans="2:15" x14ac:dyDescent="0.3">
      <c r="B344" s="21">
        <v>207</v>
      </c>
      <c r="C344" s="22" t="s">
        <v>826</v>
      </c>
      <c r="D344" s="23" t="s">
        <v>827</v>
      </c>
      <c r="E344" s="23" t="s">
        <v>828</v>
      </c>
      <c r="F344" s="24">
        <v>0.5</v>
      </c>
      <c r="G344" s="25">
        <v>1</v>
      </c>
      <c r="H344" s="26">
        <f>F344 * G344 * 2538.251469</f>
        <v>1269.1257344999999</v>
      </c>
      <c r="I344" s="26">
        <f>F344 * G344 * 7318.048727</f>
        <v>3659.0243635000002</v>
      </c>
      <c r="J344" s="26">
        <f>F344 * G344 * 401.077656</f>
        <v>200.538828</v>
      </c>
      <c r="K344" s="26">
        <f>F344 * G344 * 2734.682503</f>
        <v>1367.3412515</v>
      </c>
      <c r="L344" s="26">
        <f>F344 * G344 * 1431.26077199999</f>
        <v>715.63038599999504</v>
      </c>
      <c r="M344" s="26">
        <f>F344 * G344 * 574.39246</f>
        <v>287.19623000000001</v>
      </c>
      <c r="N344" s="27">
        <f>SUM(H344:M344)</f>
        <v>7498.8567934999955</v>
      </c>
      <c r="O344" s="28">
        <f>IF(O3&gt;0,N344/O3/12,0)</f>
        <v>1.9123623012918412E-3</v>
      </c>
    </row>
    <row r="345" spans="2:15" s="18" customFormat="1" ht="13.8" x14ac:dyDescent="0.3">
      <c r="B345" s="19"/>
      <c r="C345" s="20" t="s">
        <v>829</v>
      </c>
      <c r="D345" s="35" t="s">
        <v>830</v>
      </c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</row>
    <row r="346" spans="2:15" x14ac:dyDescent="0.3">
      <c r="B346" s="21">
        <v>208</v>
      </c>
      <c r="C346" s="22" t="s">
        <v>831</v>
      </c>
      <c r="D346" s="23" t="s">
        <v>832</v>
      </c>
      <c r="E346" s="23" t="s">
        <v>744</v>
      </c>
      <c r="F346" s="24">
        <v>10</v>
      </c>
      <c r="G346" s="25">
        <v>1</v>
      </c>
      <c r="H346" s="26">
        <f>F346 * G346 * 779.014707</f>
        <v>7790.1470700000009</v>
      </c>
      <c r="I346" s="26">
        <f>F346 * G346 * 6392</f>
        <v>63920</v>
      </c>
      <c r="J346" s="26">
        <f>F346 * G346 * 0</f>
        <v>0</v>
      </c>
      <c r="K346" s="26">
        <f>F346 * G346 * 741.777804</f>
        <v>7417.7780399999992</v>
      </c>
      <c r="L346" s="26">
        <f>F346 * G346 * 851.23682</f>
        <v>8512.368199999999</v>
      </c>
      <c r="M346" s="26">
        <f>F346 * G346 * 155.802941</f>
        <v>1558.0294100000001</v>
      </c>
      <c r="N346" s="27">
        <f>SUM(H346:M346)</f>
        <v>89198.322720000011</v>
      </c>
      <c r="O346" s="28">
        <f>IF(O3&gt;0,N346/O3/12,0)</f>
        <v>2.2747401958129104E-2</v>
      </c>
    </row>
    <row r="347" spans="2:15" ht="27.6" x14ac:dyDescent="0.3">
      <c r="B347" s="21">
        <v>209</v>
      </c>
      <c r="C347" s="22" t="s">
        <v>833</v>
      </c>
      <c r="D347" s="23" t="s">
        <v>834</v>
      </c>
      <c r="E347" s="23" t="s">
        <v>755</v>
      </c>
      <c r="F347" s="24">
        <v>300</v>
      </c>
      <c r="G347" s="25">
        <v>1</v>
      </c>
      <c r="H347" s="26">
        <f>F347 * G347 * 496.295631</f>
        <v>148888.6893</v>
      </c>
      <c r="I347" s="26">
        <f>F347 * G347 * 1669.498362</f>
        <v>500849.5086</v>
      </c>
      <c r="J347" s="26">
        <f>F347 * G347 * 0</f>
        <v>0</v>
      </c>
      <c r="K347" s="26">
        <f>F347 * G347 * 472.572699999999</f>
        <v>141771.80999999971</v>
      </c>
      <c r="L347" s="26">
        <f>F347 * G347 * 288.819524</f>
        <v>86645.857199999999</v>
      </c>
      <c r="M347" s="26">
        <f>F347 * G347 * 99.259126</f>
        <v>29777.737799999999</v>
      </c>
      <c r="N347" s="27">
        <f>SUM(H347:M347)</f>
        <v>907933.60289999971</v>
      </c>
      <c r="O347" s="28">
        <f>IF(O3&gt;0,N347/O3/12,0)</f>
        <v>0.23154169256399962</v>
      </c>
    </row>
    <row r="348" spans="2:15" s="15" customFormat="1" ht="14.4" x14ac:dyDescent="0.3">
      <c r="B348" s="16"/>
      <c r="C348" s="17" t="s">
        <v>835</v>
      </c>
      <c r="D348" s="34" t="s">
        <v>836</v>
      </c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</row>
    <row r="349" spans="2:15" s="18" customFormat="1" ht="13.8" x14ac:dyDescent="0.3">
      <c r="B349" s="19"/>
      <c r="C349" s="20" t="s">
        <v>837</v>
      </c>
      <c r="D349" s="35" t="s">
        <v>838</v>
      </c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</row>
    <row r="350" spans="2:15" ht="41.4" x14ac:dyDescent="0.3">
      <c r="B350" s="21">
        <v>210</v>
      </c>
      <c r="C350" s="22" t="s">
        <v>839</v>
      </c>
      <c r="D350" s="23" t="s">
        <v>840</v>
      </c>
      <c r="E350" s="23" t="s">
        <v>841</v>
      </c>
      <c r="F350" s="24">
        <v>69</v>
      </c>
      <c r="G350" s="25">
        <v>3</v>
      </c>
      <c r="H350" s="26">
        <f>F350 * G350 * 1314.00071</f>
        <v>271998.14697</v>
      </c>
      <c r="I350" s="26">
        <f>F350 * G350 * 59.5584</f>
        <v>12328.5888</v>
      </c>
      <c r="J350" s="26">
        <f>F350 * G350 * 0</f>
        <v>0</v>
      </c>
      <c r="K350" s="26">
        <f>F350 * G350 * 1251.191477</f>
        <v>258996.63573900002</v>
      </c>
      <c r="L350" s="26">
        <f>F350 * G350 * 304.636602</f>
        <v>63059.776613999995</v>
      </c>
      <c r="M350" s="26">
        <f>F350 * G350 * 262.800142</f>
        <v>54399.629393999996</v>
      </c>
      <c r="N350" s="27">
        <f>SUM(H350:M350)</f>
        <v>660782.7775170001</v>
      </c>
      <c r="O350" s="28">
        <f>IF(O3&gt;0,N350/O3/12,0)</f>
        <v>0.16851316245454392</v>
      </c>
    </row>
    <row r="351" spans="2:15" ht="41.4" x14ac:dyDescent="0.3">
      <c r="B351" s="21">
        <v>211</v>
      </c>
      <c r="C351" s="22" t="s">
        <v>842</v>
      </c>
      <c r="D351" s="23" t="s">
        <v>843</v>
      </c>
      <c r="E351" s="23" t="s">
        <v>841</v>
      </c>
      <c r="F351" s="24">
        <v>60</v>
      </c>
      <c r="G351" s="25">
        <v>3</v>
      </c>
      <c r="H351" s="26">
        <f>F351 * G351 * 936.225506</f>
        <v>168520.59108000001</v>
      </c>
      <c r="I351" s="26">
        <f>F351 * G351 * 564</f>
        <v>101520</v>
      </c>
      <c r="J351" s="26">
        <f>F351 * G351 * 0</f>
        <v>0</v>
      </c>
      <c r="K351" s="26">
        <f>F351 * G351 * 891.473927</f>
        <v>160465.30686000001</v>
      </c>
      <c r="L351" s="26">
        <f>F351 * G351 * 272.078649</f>
        <v>48974.156819999997</v>
      </c>
      <c r="M351" s="26">
        <f>F351 * G351 * 187.245101</f>
        <v>33704.118179999998</v>
      </c>
      <c r="N351" s="27">
        <f>SUM(H351:M351)</f>
        <v>513184.17294000002</v>
      </c>
      <c r="O351" s="28">
        <f>IF(O3&gt;0,N351/O3/12,0)</f>
        <v>0.13087249069761678</v>
      </c>
    </row>
    <row r="352" spans="2:15" s="18" customFormat="1" ht="13.8" x14ac:dyDescent="0.3">
      <c r="B352" s="19"/>
      <c r="C352" s="20" t="s">
        <v>844</v>
      </c>
      <c r="D352" s="35" t="s">
        <v>845</v>
      </c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</row>
    <row r="353" spans="2:15" s="18" customFormat="1" ht="13.8" x14ac:dyDescent="0.3">
      <c r="B353" s="19"/>
      <c r="C353" s="20" t="s">
        <v>846</v>
      </c>
      <c r="D353" s="32" t="s">
        <v>847</v>
      </c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</row>
    <row r="354" spans="2:15" ht="82.8" x14ac:dyDescent="0.3">
      <c r="B354" s="21">
        <v>212</v>
      </c>
      <c r="C354" s="22" t="s">
        <v>848</v>
      </c>
      <c r="D354" s="23" t="s">
        <v>849</v>
      </c>
      <c r="E354" s="23" t="s">
        <v>850</v>
      </c>
      <c r="F354" s="24">
        <v>22.17</v>
      </c>
      <c r="G354" s="25">
        <v>3</v>
      </c>
      <c r="H354" s="26">
        <f>F354 * G354 * 2702.161266</f>
        <v>179720.74580166003</v>
      </c>
      <c r="I354" s="26">
        <f>F354 * G354 * 0</f>
        <v>0</v>
      </c>
      <c r="J354" s="26">
        <f>F354 * G354 * 0</f>
        <v>0</v>
      </c>
      <c r="K354" s="26">
        <f>F354 * G354 * 2572.997958</f>
        <v>171130.09418658001</v>
      </c>
      <c r="L354" s="26">
        <f>F354 * G354 * 613.5449</f>
        <v>40806.871298999999</v>
      </c>
      <c r="M354" s="26">
        <f>F354 * G354 * 540.432253</f>
        <v>35944.149147030002</v>
      </c>
      <c r="N354" s="27">
        <f>SUM(H354:M354)</f>
        <v>427601.86043427006</v>
      </c>
      <c r="O354" s="28">
        <f>IF(O3&gt;0,N354/O3/12,0)</f>
        <v>0.10904724551688477</v>
      </c>
    </row>
    <row r="355" spans="2:15" ht="82.8" x14ac:dyDescent="0.3">
      <c r="B355" s="21">
        <v>213</v>
      </c>
      <c r="C355" s="22" t="s">
        <v>851</v>
      </c>
      <c r="D355" s="23" t="s">
        <v>852</v>
      </c>
      <c r="E355" s="23" t="s">
        <v>850</v>
      </c>
      <c r="F355" s="24">
        <v>136.6</v>
      </c>
      <c r="G355" s="25">
        <v>3</v>
      </c>
      <c r="H355" s="26">
        <f>F355 * G355 * 2922.124225</f>
        <v>1197486.5074049998</v>
      </c>
      <c r="I355" s="26">
        <f>F355 * G355 * 0</f>
        <v>0</v>
      </c>
      <c r="J355" s="26">
        <f>F355 * G355 * 0</f>
        <v>0</v>
      </c>
      <c r="K355" s="26">
        <f>F355 * G355 * 2782.446687</f>
        <v>1140246.6523326</v>
      </c>
      <c r="L355" s="26">
        <f>F355 * G355 * 663.489053</f>
        <v>271897.81391939998</v>
      </c>
      <c r="M355" s="26">
        <f>F355 * G355 * 584.424845</f>
        <v>239497.30148099997</v>
      </c>
      <c r="N355" s="27">
        <f>SUM(H355:M355)</f>
        <v>2849128.275138</v>
      </c>
      <c r="O355" s="28">
        <f>IF(O3&gt;0,N355/O3/12,0)</f>
        <v>0.7265861523907714</v>
      </c>
    </row>
    <row r="356" spans="2:15" ht="82.8" x14ac:dyDescent="0.3">
      <c r="B356" s="21">
        <v>214</v>
      </c>
      <c r="C356" s="22" t="s">
        <v>853</v>
      </c>
      <c r="D356" s="23" t="s">
        <v>854</v>
      </c>
      <c r="E356" s="23" t="s">
        <v>850</v>
      </c>
      <c r="F356" s="24">
        <v>168</v>
      </c>
      <c r="G356" s="25">
        <v>3</v>
      </c>
      <c r="H356" s="26">
        <f>F356 * G356 * 3195.069807</f>
        <v>1610315.182728</v>
      </c>
      <c r="I356" s="26">
        <f>F356 * G356 * 0</f>
        <v>0</v>
      </c>
      <c r="J356" s="26">
        <f>F356 * G356 * 0</f>
        <v>0</v>
      </c>
      <c r="K356" s="26">
        <f>F356 * G356 * 3042.345471</f>
        <v>1533342.117384</v>
      </c>
      <c r="L356" s="26">
        <f>F356 * G356 * 725.463284</f>
        <v>365633.49513600004</v>
      </c>
      <c r="M356" s="26">
        <f>F356 * G356 * 639.013961</f>
        <v>322063.03634400002</v>
      </c>
      <c r="N356" s="27">
        <f>SUM(H356:M356)</f>
        <v>3831353.8315920001</v>
      </c>
      <c r="O356" s="28">
        <f>IF(O3&gt;0,N356/O3/12,0)</f>
        <v>0.97707381701135754</v>
      </c>
    </row>
    <row r="357" spans="2:15" s="15" customFormat="1" ht="14.4" x14ac:dyDescent="0.3">
      <c r="B357" s="16"/>
      <c r="C357" s="17" t="s">
        <v>855</v>
      </c>
      <c r="D357" s="34" t="s">
        <v>856</v>
      </c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</row>
    <row r="358" spans="2:15" s="18" customFormat="1" ht="13.8" x14ac:dyDescent="0.3">
      <c r="B358" s="19"/>
      <c r="C358" s="20" t="s">
        <v>857</v>
      </c>
      <c r="D358" s="35" t="s">
        <v>858</v>
      </c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</row>
    <row r="359" spans="2:15" s="18" customFormat="1" ht="13.8" x14ac:dyDescent="0.3">
      <c r="B359" s="19"/>
      <c r="C359" s="20" t="s">
        <v>859</v>
      </c>
      <c r="D359" s="32" t="s">
        <v>860</v>
      </c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</row>
    <row r="360" spans="2:15" x14ac:dyDescent="0.3">
      <c r="B360" s="21">
        <v>215</v>
      </c>
      <c r="C360" s="22" t="s">
        <v>861</v>
      </c>
      <c r="D360" s="23" t="s">
        <v>862</v>
      </c>
      <c r="E360" s="23" t="s">
        <v>863</v>
      </c>
      <c r="F360" s="24"/>
      <c r="G360" s="25">
        <v>4</v>
      </c>
      <c r="H360" s="26">
        <f>F360 * G360 * 3101.398191</f>
        <v>0</v>
      </c>
      <c r="I360" s="26">
        <f>F360 * G360 * 0</f>
        <v>0</v>
      </c>
      <c r="J360" s="26">
        <f>F360 * G360 * 5947.05321</f>
        <v>0</v>
      </c>
      <c r="K360" s="26">
        <f>F360 * G360 * 6756.051111</f>
        <v>0</v>
      </c>
      <c r="L360" s="26">
        <f>F360 * G360 * 1817.083772</f>
        <v>0</v>
      </c>
      <c r="M360" s="26">
        <f>F360 * G360 * 1419.040351</f>
        <v>0</v>
      </c>
      <c r="N360" s="27">
        <f>SUM(H360:M360)</f>
        <v>0</v>
      </c>
      <c r="O360" s="28">
        <f>IF(O3&gt;0,N360/O3/12,0)</f>
        <v>0</v>
      </c>
    </row>
    <row r="361" spans="2:15" x14ac:dyDescent="0.3">
      <c r="B361" s="21">
        <v>216</v>
      </c>
      <c r="C361" s="22" t="s">
        <v>864</v>
      </c>
      <c r="D361" s="23" t="s">
        <v>865</v>
      </c>
      <c r="E361" s="23" t="s">
        <v>866</v>
      </c>
      <c r="F361" s="24"/>
      <c r="G361" s="25">
        <v>4</v>
      </c>
      <c r="H361" s="26">
        <f>F361 * G361 * 182.326304</f>
        <v>0</v>
      </c>
      <c r="I361" s="26">
        <f>F361 * G361 * 0</f>
        <v>0</v>
      </c>
      <c r="J361" s="26">
        <f>F361 * G361 * 349.61787</f>
        <v>0</v>
      </c>
      <c r="K361" s="26">
        <f>F361 * G361 * 397.17758</f>
        <v>0</v>
      </c>
      <c r="L361" s="26">
        <f>F361 * G361 * 106.823486</f>
        <v>0</v>
      </c>
      <c r="M361" s="26">
        <f>F361 * G361 * 83.423142</f>
        <v>0</v>
      </c>
      <c r="N361" s="27">
        <f>SUM(H361:M361)</f>
        <v>0</v>
      </c>
      <c r="O361" s="28">
        <f>IF(O3&gt;0,N361/O3/12,0)</f>
        <v>0</v>
      </c>
    </row>
    <row r="362" spans="2:15" s="29" customFormat="1" ht="19.95" customHeight="1" x14ac:dyDescent="0.3">
      <c r="B362" s="33" t="s">
        <v>867</v>
      </c>
      <c r="C362" s="33"/>
      <c r="D362" s="33"/>
      <c r="E362" s="33"/>
      <c r="F362" s="33"/>
      <c r="G362" s="33"/>
      <c r="H362" s="30">
        <f t="shared" ref="H362:O362" si="13">SUM(H4:H361)</f>
        <v>54917173.024073534</v>
      </c>
      <c r="I362" s="30">
        <f t="shared" si="13"/>
        <v>11557196.140222579</v>
      </c>
      <c r="J362" s="30">
        <f t="shared" si="13"/>
        <v>571449.71270442603</v>
      </c>
      <c r="K362" s="30">
        <f t="shared" si="13"/>
        <v>52459245.529746234</v>
      </c>
      <c r="L362" s="30">
        <f t="shared" si="13"/>
        <v>13770239.751535662</v>
      </c>
      <c r="M362" s="30">
        <f t="shared" si="13"/>
        <v>11018535.078027319</v>
      </c>
      <c r="N362" s="30">
        <f t="shared" si="13"/>
        <v>144293839.23630974</v>
      </c>
      <c r="O362" s="31">
        <f t="shared" si="13"/>
        <v>36.797888806647286</v>
      </c>
    </row>
  </sheetData>
  <mergeCells count="146">
    <mergeCell ref="B2:L3"/>
    <mergeCell ref="M2:N2"/>
    <mergeCell ref="M3:N3"/>
    <mergeCell ref="D4:O4"/>
    <mergeCell ref="D5:O5"/>
    <mergeCell ref="D7:O7"/>
    <mergeCell ref="D17:O17"/>
    <mergeCell ref="D18:O18"/>
    <mergeCell ref="D20:O20"/>
    <mergeCell ref="D21:O21"/>
    <mergeCell ref="D24:O24"/>
    <mergeCell ref="D25:O25"/>
    <mergeCell ref="D27:O27"/>
    <mergeCell ref="D29:O29"/>
    <mergeCell ref="D30:O30"/>
    <mergeCell ref="D32:O32"/>
    <mergeCell ref="D34:O34"/>
    <mergeCell ref="D38:O38"/>
    <mergeCell ref="D39:O39"/>
    <mergeCell ref="D41:O41"/>
    <mergeCell ref="D42:O42"/>
    <mergeCell ref="D44:O44"/>
    <mergeCell ref="D47:O47"/>
    <mergeCell ref="D49:O49"/>
    <mergeCell ref="D50:O50"/>
    <mergeCell ref="D52:O52"/>
    <mergeCell ref="D54:O54"/>
    <mergeCell ref="D55:O55"/>
    <mergeCell ref="D56:O56"/>
    <mergeCell ref="D58:O58"/>
    <mergeCell ref="D59:O59"/>
    <mergeCell ref="D62:O62"/>
    <mergeCell ref="D63:O63"/>
    <mergeCell ref="D65:O65"/>
    <mergeCell ref="D67:O67"/>
    <mergeCell ref="D69:O69"/>
    <mergeCell ref="D72:O72"/>
    <mergeCell ref="D76:O76"/>
    <mergeCell ref="D78:O78"/>
    <mergeCell ref="D80:O80"/>
    <mergeCell ref="D81:O81"/>
    <mergeCell ref="D95:O95"/>
    <mergeCell ref="D103:O103"/>
    <mergeCell ref="D106:O106"/>
    <mergeCell ref="D108:O108"/>
    <mergeCell ref="D109:O109"/>
    <mergeCell ref="D112:O112"/>
    <mergeCell ref="D113:O113"/>
    <mergeCell ref="D116:O116"/>
    <mergeCell ref="D118:O118"/>
    <mergeCell ref="D120:O120"/>
    <mergeCell ref="D123:O123"/>
    <mergeCell ref="D124:O124"/>
    <mergeCell ref="D125:O125"/>
    <mergeCell ref="D127:O127"/>
    <mergeCell ref="D128:O128"/>
    <mergeCell ref="D130:O130"/>
    <mergeCell ref="D132:O132"/>
    <mergeCell ref="D133:O133"/>
    <mergeCell ref="D135:O135"/>
    <mergeCell ref="D138:O138"/>
    <mergeCell ref="D139:O139"/>
    <mergeCell ref="D141:O141"/>
    <mergeCell ref="D143:O143"/>
    <mergeCell ref="D145:O145"/>
    <mergeCell ref="D146:O146"/>
    <mergeCell ref="D147:O147"/>
    <mergeCell ref="D150:O150"/>
    <mergeCell ref="D152:O152"/>
    <mergeCell ref="D154:O154"/>
    <mergeCell ref="D156:O156"/>
    <mergeCell ref="D157:O157"/>
    <mergeCell ref="D162:O162"/>
    <mergeCell ref="D165:O165"/>
    <mergeCell ref="D168:O168"/>
    <mergeCell ref="D169:O169"/>
    <mergeCell ref="D172:O172"/>
    <mergeCell ref="D173:O173"/>
    <mergeCell ref="D177:O177"/>
    <mergeCell ref="D178:O178"/>
    <mergeCell ref="D179:O179"/>
    <mergeCell ref="D183:O183"/>
    <mergeCell ref="D186:O186"/>
    <mergeCell ref="D191:O191"/>
    <mergeCell ref="D192:O192"/>
    <mergeCell ref="D196:O196"/>
    <mergeCell ref="D198:O198"/>
    <mergeCell ref="D200:O200"/>
    <mergeCell ref="D203:O203"/>
    <mergeCell ref="D204:O204"/>
    <mergeCell ref="D206:O206"/>
    <mergeCell ref="D208:O208"/>
    <mergeCell ref="D215:O215"/>
    <mergeCell ref="D219:O219"/>
    <mergeCell ref="D222:O222"/>
    <mergeCell ref="D225:O225"/>
    <mergeCell ref="D229:O229"/>
    <mergeCell ref="D230:O230"/>
    <mergeCell ref="D234:O234"/>
    <mergeCell ref="D236:O236"/>
    <mergeCell ref="D238:O238"/>
    <mergeCell ref="D240:O240"/>
    <mergeCell ref="D244:O244"/>
    <mergeCell ref="D246:O246"/>
    <mergeCell ref="D247:O247"/>
    <mergeCell ref="D252:O252"/>
    <mergeCell ref="D255:O255"/>
    <mergeCell ref="D256:O256"/>
    <mergeCell ref="D258:O258"/>
    <mergeCell ref="D259:O259"/>
    <mergeCell ref="D263:O263"/>
    <mergeCell ref="D266:O266"/>
    <mergeCell ref="D267:O267"/>
    <mergeCell ref="D268:O268"/>
    <mergeCell ref="D269:O269"/>
    <mergeCell ref="D272:O272"/>
    <mergeCell ref="D275:O275"/>
    <mergeCell ref="D278:O278"/>
    <mergeCell ref="D282:O282"/>
    <mergeCell ref="D283:O283"/>
    <mergeCell ref="D286:O286"/>
    <mergeCell ref="D294:O294"/>
    <mergeCell ref="D295:O295"/>
    <mergeCell ref="D297:O297"/>
    <mergeCell ref="D298:O298"/>
    <mergeCell ref="D302:O302"/>
    <mergeCell ref="D304:O304"/>
    <mergeCell ref="D306:O306"/>
    <mergeCell ref="D308:O308"/>
    <mergeCell ref="D314:O314"/>
    <mergeCell ref="D320:O320"/>
    <mergeCell ref="D323:O323"/>
    <mergeCell ref="D325:O325"/>
    <mergeCell ref="D329:O329"/>
    <mergeCell ref="D332:O332"/>
    <mergeCell ref="D359:O359"/>
    <mergeCell ref="B362:G362"/>
    <mergeCell ref="D339:O339"/>
    <mergeCell ref="D340:O340"/>
    <mergeCell ref="D345:O345"/>
    <mergeCell ref="D348:O348"/>
    <mergeCell ref="D349:O349"/>
    <mergeCell ref="D352:O352"/>
    <mergeCell ref="D353:O353"/>
    <mergeCell ref="D357:O357"/>
    <mergeCell ref="D358:O358"/>
  </mergeCells>
  <pageMargins left="0.7" right="0.7" top="0.75" bottom="0.75" header="0.3" footer="0.3"/>
  <pageSetup paperSize="9" fitToHeight="0" orientation="landscape" horizontalDpi="4294967295" verticalDpi="4294967295"/>
  <headerFooter>
    <oddHeader>&amp;C&amp;KCCCCCC&amp;"Arial"1.11 МКД квартирного типа с газом, уборкой МОП и придомовой территории на 2026 год (ООО Квартал)</oddHeader>
    <oddFooter>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Смета!Заголовки_для_печати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1.11 МКД квартирного типа с газом, уборкой МОП и придомовой территории на 2026 год (ООО Квартал)</dc:title>
  <dc:subject/>
  <dc:creator/>
  <cp:keywords/>
  <dc:description/>
  <cp:lastModifiedBy/>
  <cp:lastPrinted>2025-12-09T10:35:21Z</cp:lastPrinted>
  <dcterms:created xsi:type="dcterms:W3CDTF">2025-12-09T10:35:21Z</dcterms:created>
  <dcterms:modified xsi:type="dcterms:W3CDTF">2025-12-09T10:42:26Z</dcterms:modified>
  <cp:category/>
</cp:coreProperties>
</file>