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3040" windowHeight="9384"/>
  </bookViews>
  <sheets>
    <sheet name="Смета" sheetId="1" r:id="rId1"/>
  </sheets>
  <definedNames>
    <definedName name="_xlnm.Print_Titles" localSheetId="0">Смета!$1:$1</definedName>
  </definedNames>
  <calcPr calcId="152511"/>
</workbook>
</file>

<file path=xl/calcChain.xml><?xml version="1.0" encoding="utf-8"?>
<calcChain xmlns="http://schemas.openxmlformats.org/spreadsheetml/2006/main">
  <c r="M178" i="1" l="1"/>
  <c r="L178" i="1"/>
  <c r="K178" i="1"/>
  <c r="J178" i="1"/>
  <c r="I178" i="1"/>
  <c r="H178" i="1"/>
  <c r="N178" i="1" s="1"/>
  <c r="O178" i="1" s="1"/>
  <c r="M177" i="1"/>
  <c r="L177" i="1"/>
  <c r="K177" i="1"/>
  <c r="J177" i="1"/>
  <c r="I177" i="1"/>
  <c r="H177" i="1"/>
  <c r="N177" i="1" s="1"/>
  <c r="O177" i="1" s="1"/>
  <c r="M175" i="1"/>
  <c r="L175" i="1"/>
  <c r="K175" i="1"/>
  <c r="J175" i="1"/>
  <c r="I175" i="1"/>
  <c r="H175" i="1"/>
  <c r="N175" i="1" s="1"/>
  <c r="O175" i="1" s="1"/>
  <c r="M174" i="1"/>
  <c r="L174" i="1"/>
  <c r="K174" i="1"/>
  <c r="J174" i="1"/>
  <c r="I174" i="1"/>
  <c r="H174" i="1"/>
  <c r="N174" i="1" s="1"/>
  <c r="O174" i="1" s="1"/>
  <c r="M173" i="1"/>
  <c r="L173" i="1"/>
  <c r="K173" i="1"/>
  <c r="J173" i="1"/>
  <c r="I173" i="1"/>
  <c r="H173" i="1"/>
  <c r="N173" i="1" s="1"/>
  <c r="O173" i="1" s="1"/>
  <c r="M172" i="1"/>
  <c r="L172" i="1"/>
  <c r="K172" i="1"/>
  <c r="J172" i="1"/>
  <c r="I172" i="1"/>
  <c r="H172" i="1"/>
  <c r="N172" i="1" s="1"/>
  <c r="O172" i="1" s="1"/>
  <c r="M171" i="1"/>
  <c r="L171" i="1"/>
  <c r="K171" i="1"/>
  <c r="J171" i="1"/>
  <c r="I171" i="1"/>
  <c r="H171" i="1"/>
  <c r="N171" i="1" s="1"/>
  <c r="O171" i="1" s="1"/>
  <c r="M170" i="1"/>
  <c r="L170" i="1"/>
  <c r="K170" i="1"/>
  <c r="J170" i="1"/>
  <c r="I170" i="1"/>
  <c r="H170" i="1"/>
  <c r="N170" i="1" s="1"/>
  <c r="O170" i="1" s="1"/>
  <c r="M169" i="1"/>
  <c r="L169" i="1"/>
  <c r="K169" i="1"/>
  <c r="J169" i="1"/>
  <c r="I169" i="1"/>
  <c r="H169" i="1"/>
  <c r="N169" i="1" s="1"/>
  <c r="O169" i="1" s="1"/>
  <c r="M168" i="1"/>
  <c r="L168" i="1"/>
  <c r="K168" i="1"/>
  <c r="J168" i="1"/>
  <c r="I168" i="1"/>
  <c r="H168" i="1"/>
  <c r="N168" i="1" s="1"/>
  <c r="O168" i="1" s="1"/>
  <c r="M167" i="1"/>
  <c r="L167" i="1"/>
  <c r="K167" i="1"/>
  <c r="J167" i="1"/>
  <c r="I167" i="1"/>
  <c r="H167" i="1"/>
  <c r="N167" i="1" s="1"/>
  <c r="O167" i="1" s="1"/>
  <c r="M166" i="1"/>
  <c r="L166" i="1"/>
  <c r="K166" i="1"/>
  <c r="J166" i="1"/>
  <c r="I166" i="1"/>
  <c r="H166" i="1"/>
  <c r="N166" i="1" s="1"/>
  <c r="O166" i="1" s="1"/>
  <c r="M165" i="1"/>
  <c r="L165" i="1"/>
  <c r="K165" i="1"/>
  <c r="J165" i="1"/>
  <c r="I165" i="1"/>
  <c r="H165" i="1"/>
  <c r="N165" i="1" s="1"/>
  <c r="O165" i="1" s="1"/>
  <c r="M164" i="1"/>
  <c r="L164" i="1"/>
  <c r="K164" i="1"/>
  <c r="J164" i="1"/>
  <c r="I164" i="1"/>
  <c r="H164" i="1"/>
  <c r="N164" i="1" s="1"/>
  <c r="O164" i="1" s="1"/>
  <c r="M163" i="1"/>
  <c r="L163" i="1"/>
  <c r="K163" i="1"/>
  <c r="J163" i="1"/>
  <c r="I163" i="1"/>
  <c r="H163" i="1"/>
  <c r="N163" i="1" s="1"/>
  <c r="O163" i="1" s="1"/>
  <c r="M162" i="1"/>
  <c r="L162" i="1"/>
  <c r="K162" i="1"/>
  <c r="J162" i="1"/>
  <c r="I162" i="1"/>
  <c r="H162" i="1"/>
  <c r="N162" i="1" s="1"/>
  <c r="O162" i="1" s="1"/>
  <c r="M161" i="1"/>
  <c r="L161" i="1"/>
  <c r="K161" i="1"/>
  <c r="J161" i="1"/>
  <c r="I161" i="1"/>
  <c r="H161" i="1"/>
  <c r="N161" i="1" s="1"/>
  <c r="O161" i="1" s="1"/>
  <c r="M160" i="1"/>
  <c r="L160" i="1"/>
  <c r="K160" i="1"/>
  <c r="J160" i="1"/>
  <c r="I160" i="1"/>
  <c r="H160" i="1"/>
  <c r="N160" i="1" s="1"/>
  <c r="O160" i="1" s="1"/>
  <c r="M159" i="1"/>
  <c r="L159" i="1"/>
  <c r="K159" i="1"/>
  <c r="J159" i="1"/>
  <c r="I159" i="1"/>
  <c r="H159" i="1"/>
  <c r="N159" i="1" s="1"/>
  <c r="O159" i="1" s="1"/>
  <c r="M157" i="1"/>
  <c r="L157" i="1"/>
  <c r="K157" i="1"/>
  <c r="J157" i="1"/>
  <c r="I157" i="1"/>
  <c r="H157" i="1"/>
  <c r="N157" i="1" s="1"/>
  <c r="O157" i="1" s="1"/>
  <c r="M156" i="1"/>
  <c r="L156" i="1"/>
  <c r="K156" i="1"/>
  <c r="J156" i="1"/>
  <c r="I156" i="1"/>
  <c r="H156" i="1"/>
  <c r="N156" i="1" s="1"/>
  <c r="O156" i="1" s="1"/>
  <c r="M155" i="1"/>
  <c r="L155" i="1"/>
  <c r="K155" i="1"/>
  <c r="J155" i="1"/>
  <c r="I155" i="1"/>
  <c r="H155" i="1"/>
  <c r="N155" i="1" s="1"/>
  <c r="O155" i="1" s="1"/>
  <c r="M154" i="1"/>
  <c r="L154" i="1"/>
  <c r="K154" i="1"/>
  <c r="J154" i="1"/>
  <c r="I154" i="1"/>
  <c r="H154" i="1"/>
  <c r="N154" i="1" s="1"/>
  <c r="O154" i="1" s="1"/>
  <c r="M153" i="1"/>
  <c r="L153" i="1"/>
  <c r="K153" i="1"/>
  <c r="J153" i="1"/>
  <c r="I153" i="1"/>
  <c r="H153" i="1"/>
  <c r="N153" i="1" s="1"/>
  <c r="O153" i="1" s="1"/>
  <c r="M152" i="1"/>
  <c r="L152" i="1"/>
  <c r="K152" i="1"/>
  <c r="J152" i="1"/>
  <c r="I152" i="1"/>
  <c r="H152" i="1"/>
  <c r="N152" i="1" s="1"/>
  <c r="O152" i="1" s="1"/>
  <c r="M151" i="1"/>
  <c r="L151" i="1"/>
  <c r="K151" i="1"/>
  <c r="J151" i="1"/>
  <c r="I151" i="1"/>
  <c r="H151" i="1"/>
  <c r="N151" i="1" s="1"/>
  <c r="O151" i="1" s="1"/>
  <c r="M150" i="1"/>
  <c r="L150" i="1"/>
  <c r="K150" i="1"/>
  <c r="J150" i="1"/>
  <c r="I150" i="1"/>
  <c r="H150" i="1"/>
  <c r="N150" i="1" s="1"/>
  <c r="O150" i="1" s="1"/>
  <c r="M149" i="1"/>
  <c r="L149" i="1"/>
  <c r="K149" i="1"/>
  <c r="J149" i="1"/>
  <c r="I149" i="1"/>
  <c r="H149" i="1"/>
  <c r="N149" i="1" s="1"/>
  <c r="O149" i="1" s="1"/>
  <c r="M148" i="1"/>
  <c r="L148" i="1"/>
  <c r="K148" i="1"/>
  <c r="J148" i="1"/>
  <c r="I148" i="1"/>
  <c r="H148" i="1"/>
  <c r="N148" i="1" s="1"/>
  <c r="O148" i="1" s="1"/>
  <c r="M147" i="1"/>
  <c r="L147" i="1"/>
  <c r="K147" i="1"/>
  <c r="J147" i="1"/>
  <c r="I147" i="1"/>
  <c r="H147" i="1"/>
  <c r="N147" i="1" s="1"/>
  <c r="O147" i="1" s="1"/>
  <c r="M146" i="1"/>
  <c r="L146" i="1"/>
  <c r="K146" i="1"/>
  <c r="J146" i="1"/>
  <c r="I146" i="1"/>
  <c r="H146" i="1"/>
  <c r="N146" i="1" s="1"/>
  <c r="O146" i="1" s="1"/>
  <c r="M145" i="1"/>
  <c r="L145" i="1"/>
  <c r="K145" i="1"/>
  <c r="J145" i="1"/>
  <c r="I145" i="1"/>
  <c r="H145" i="1"/>
  <c r="N145" i="1" s="1"/>
  <c r="O145" i="1" s="1"/>
  <c r="M143" i="1"/>
  <c r="L143" i="1"/>
  <c r="K143" i="1"/>
  <c r="J143" i="1"/>
  <c r="I143" i="1"/>
  <c r="H143" i="1"/>
  <c r="N143" i="1" s="1"/>
  <c r="O143" i="1" s="1"/>
  <c r="M142" i="1"/>
  <c r="L142" i="1"/>
  <c r="K142" i="1"/>
  <c r="J142" i="1"/>
  <c r="I142" i="1"/>
  <c r="H142" i="1"/>
  <c r="N142" i="1" s="1"/>
  <c r="O142" i="1" s="1"/>
  <c r="M141" i="1"/>
  <c r="L141" i="1"/>
  <c r="K141" i="1"/>
  <c r="J141" i="1"/>
  <c r="I141" i="1"/>
  <c r="H141" i="1"/>
  <c r="N141" i="1" s="1"/>
  <c r="O141" i="1" s="1"/>
  <c r="M140" i="1"/>
  <c r="L140" i="1"/>
  <c r="K140" i="1"/>
  <c r="J140" i="1"/>
  <c r="I140" i="1"/>
  <c r="H140" i="1"/>
  <c r="N140" i="1" s="1"/>
  <c r="O140" i="1" s="1"/>
  <c r="M139" i="1"/>
  <c r="L139" i="1"/>
  <c r="K139" i="1"/>
  <c r="J139" i="1"/>
  <c r="I139" i="1"/>
  <c r="H139" i="1"/>
  <c r="N139" i="1" s="1"/>
  <c r="O139" i="1" s="1"/>
  <c r="M138" i="1"/>
  <c r="L138" i="1"/>
  <c r="K138" i="1"/>
  <c r="J138" i="1"/>
  <c r="I138" i="1"/>
  <c r="H138" i="1"/>
  <c r="N138" i="1" s="1"/>
  <c r="O138" i="1" s="1"/>
  <c r="M137" i="1"/>
  <c r="L137" i="1"/>
  <c r="K137" i="1"/>
  <c r="J137" i="1"/>
  <c r="I137" i="1"/>
  <c r="H137" i="1"/>
  <c r="N137" i="1" s="1"/>
  <c r="O137" i="1" s="1"/>
  <c r="M136" i="1"/>
  <c r="L136" i="1"/>
  <c r="K136" i="1"/>
  <c r="J136" i="1"/>
  <c r="I136" i="1"/>
  <c r="H136" i="1"/>
  <c r="N136" i="1" s="1"/>
  <c r="O136" i="1" s="1"/>
  <c r="M135" i="1"/>
  <c r="L135" i="1"/>
  <c r="K135" i="1"/>
  <c r="J135" i="1"/>
  <c r="I135" i="1"/>
  <c r="H135" i="1"/>
  <c r="N135" i="1" s="1"/>
  <c r="O135" i="1" s="1"/>
  <c r="M134" i="1"/>
  <c r="L134" i="1"/>
  <c r="K134" i="1"/>
  <c r="J134" i="1"/>
  <c r="I134" i="1"/>
  <c r="H134" i="1"/>
  <c r="N134" i="1" s="1"/>
  <c r="O134" i="1" s="1"/>
  <c r="M133" i="1"/>
  <c r="L133" i="1"/>
  <c r="K133" i="1"/>
  <c r="J133" i="1"/>
  <c r="I133" i="1"/>
  <c r="H133" i="1"/>
  <c r="N133" i="1" s="1"/>
  <c r="O133" i="1" s="1"/>
  <c r="M132" i="1"/>
  <c r="L132" i="1"/>
  <c r="K132" i="1"/>
  <c r="J132" i="1"/>
  <c r="I132" i="1"/>
  <c r="H132" i="1"/>
  <c r="N132" i="1" s="1"/>
  <c r="O132" i="1" s="1"/>
  <c r="M131" i="1"/>
  <c r="L131" i="1"/>
  <c r="K131" i="1"/>
  <c r="J131" i="1"/>
  <c r="I131" i="1"/>
  <c r="H131" i="1"/>
  <c r="N131" i="1" s="1"/>
  <c r="O131" i="1" s="1"/>
  <c r="M130" i="1"/>
  <c r="L130" i="1"/>
  <c r="K130" i="1"/>
  <c r="J130" i="1"/>
  <c r="I130" i="1"/>
  <c r="H130" i="1"/>
  <c r="N130" i="1" s="1"/>
  <c r="O130" i="1" s="1"/>
  <c r="M129" i="1"/>
  <c r="L129" i="1"/>
  <c r="K129" i="1"/>
  <c r="J129" i="1"/>
  <c r="I129" i="1"/>
  <c r="H129" i="1"/>
  <c r="N129" i="1" s="1"/>
  <c r="O129" i="1" s="1"/>
  <c r="M128" i="1"/>
  <c r="L128" i="1"/>
  <c r="K128" i="1"/>
  <c r="J128" i="1"/>
  <c r="I128" i="1"/>
  <c r="H128" i="1"/>
  <c r="N128" i="1" s="1"/>
  <c r="O128" i="1" s="1"/>
  <c r="M127" i="1"/>
  <c r="L127" i="1"/>
  <c r="K127" i="1"/>
  <c r="J127" i="1"/>
  <c r="I127" i="1"/>
  <c r="H127" i="1"/>
  <c r="N127" i="1" s="1"/>
  <c r="O127" i="1" s="1"/>
  <c r="M126" i="1"/>
  <c r="L126" i="1"/>
  <c r="K126" i="1"/>
  <c r="J126" i="1"/>
  <c r="I126" i="1"/>
  <c r="H126" i="1"/>
  <c r="N126" i="1" s="1"/>
  <c r="O126" i="1" s="1"/>
  <c r="M125" i="1"/>
  <c r="L125" i="1"/>
  <c r="K125" i="1"/>
  <c r="J125" i="1"/>
  <c r="I125" i="1"/>
  <c r="H125" i="1"/>
  <c r="N125" i="1" s="1"/>
  <c r="O125" i="1" s="1"/>
  <c r="M124" i="1"/>
  <c r="L124" i="1"/>
  <c r="K124" i="1"/>
  <c r="J124" i="1"/>
  <c r="I124" i="1"/>
  <c r="H124" i="1"/>
  <c r="N124" i="1" s="1"/>
  <c r="O124" i="1" s="1"/>
  <c r="M123" i="1"/>
  <c r="L123" i="1"/>
  <c r="K123" i="1"/>
  <c r="J123" i="1"/>
  <c r="I123" i="1"/>
  <c r="H123" i="1"/>
  <c r="N123" i="1" s="1"/>
  <c r="O123" i="1" s="1"/>
  <c r="M122" i="1"/>
  <c r="L122" i="1"/>
  <c r="K122" i="1"/>
  <c r="J122" i="1"/>
  <c r="I122" i="1"/>
  <c r="H122" i="1"/>
  <c r="N122" i="1" s="1"/>
  <c r="O122" i="1" s="1"/>
  <c r="M121" i="1"/>
  <c r="L121" i="1"/>
  <c r="K121" i="1"/>
  <c r="J121" i="1"/>
  <c r="I121" i="1"/>
  <c r="H121" i="1"/>
  <c r="N121" i="1" s="1"/>
  <c r="O121" i="1" s="1"/>
  <c r="M120" i="1"/>
  <c r="L120" i="1"/>
  <c r="K120" i="1"/>
  <c r="J120" i="1"/>
  <c r="I120" i="1"/>
  <c r="H120" i="1"/>
  <c r="N120" i="1" s="1"/>
  <c r="O120" i="1" s="1"/>
  <c r="M119" i="1"/>
  <c r="L119" i="1"/>
  <c r="K119" i="1"/>
  <c r="J119" i="1"/>
  <c r="I119" i="1"/>
  <c r="H119" i="1"/>
  <c r="N119" i="1" s="1"/>
  <c r="O119" i="1" s="1"/>
  <c r="M118" i="1"/>
  <c r="L118" i="1"/>
  <c r="K118" i="1"/>
  <c r="J118" i="1"/>
  <c r="I118" i="1"/>
  <c r="H118" i="1"/>
  <c r="N118" i="1" s="1"/>
  <c r="O118" i="1" s="1"/>
  <c r="M117" i="1"/>
  <c r="L117" i="1"/>
  <c r="K117" i="1"/>
  <c r="J117" i="1"/>
  <c r="I117" i="1"/>
  <c r="H117" i="1"/>
  <c r="N117" i="1" s="1"/>
  <c r="O117" i="1" s="1"/>
  <c r="M116" i="1"/>
  <c r="L116" i="1"/>
  <c r="K116" i="1"/>
  <c r="J116" i="1"/>
  <c r="I116" i="1"/>
  <c r="H116" i="1"/>
  <c r="N116" i="1" s="1"/>
  <c r="O116" i="1" s="1"/>
  <c r="M115" i="1"/>
  <c r="L115" i="1"/>
  <c r="K115" i="1"/>
  <c r="J115" i="1"/>
  <c r="I115" i="1"/>
  <c r="H115" i="1"/>
  <c r="N115" i="1" s="1"/>
  <c r="O115" i="1" s="1"/>
  <c r="M114" i="1"/>
  <c r="L114" i="1"/>
  <c r="K114" i="1"/>
  <c r="J114" i="1"/>
  <c r="I114" i="1"/>
  <c r="H114" i="1"/>
  <c r="N114" i="1" s="1"/>
  <c r="O114" i="1" s="1"/>
  <c r="M113" i="1"/>
  <c r="L113" i="1"/>
  <c r="K113" i="1"/>
  <c r="J113" i="1"/>
  <c r="I113" i="1"/>
  <c r="H113" i="1"/>
  <c r="N113" i="1" s="1"/>
  <c r="O113" i="1" s="1"/>
  <c r="M112" i="1"/>
  <c r="L112" i="1"/>
  <c r="K112" i="1"/>
  <c r="J112" i="1"/>
  <c r="I112" i="1"/>
  <c r="H112" i="1"/>
  <c r="N112" i="1" s="1"/>
  <c r="O112" i="1" s="1"/>
  <c r="M111" i="1"/>
  <c r="L111" i="1"/>
  <c r="K111" i="1"/>
  <c r="J111" i="1"/>
  <c r="I111" i="1"/>
  <c r="H111" i="1"/>
  <c r="N111" i="1" s="1"/>
  <c r="O111" i="1" s="1"/>
  <c r="M110" i="1"/>
  <c r="L110" i="1"/>
  <c r="K110" i="1"/>
  <c r="J110" i="1"/>
  <c r="I110" i="1"/>
  <c r="H110" i="1"/>
  <c r="N110" i="1" s="1"/>
  <c r="O110" i="1" s="1"/>
  <c r="M109" i="1"/>
  <c r="L109" i="1"/>
  <c r="K109" i="1"/>
  <c r="J109" i="1"/>
  <c r="I109" i="1"/>
  <c r="H109" i="1"/>
  <c r="N109" i="1" s="1"/>
  <c r="O109" i="1" s="1"/>
  <c r="M108" i="1"/>
  <c r="L108" i="1"/>
  <c r="K108" i="1"/>
  <c r="J108" i="1"/>
  <c r="I108" i="1"/>
  <c r="H108" i="1"/>
  <c r="N108" i="1" s="1"/>
  <c r="O108" i="1" s="1"/>
  <c r="M107" i="1"/>
  <c r="L107" i="1"/>
  <c r="K107" i="1"/>
  <c r="J107" i="1"/>
  <c r="I107" i="1"/>
  <c r="H107" i="1"/>
  <c r="N107" i="1" s="1"/>
  <c r="O107" i="1" s="1"/>
  <c r="M106" i="1"/>
  <c r="L106" i="1"/>
  <c r="K106" i="1"/>
  <c r="J106" i="1"/>
  <c r="I106" i="1"/>
  <c r="H106" i="1"/>
  <c r="N106" i="1" s="1"/>
  <c r="O106" i="1" s="1"/>
  <c r="M105" i="1"/>
  <c r="L105" i="1"/>
  <c r="K105" i="1"/>
  <c r="J105" i="1"/>
  <c r="I105" i="1"/>
  <c r="H105" i="1"/>
  <c r="N105" i="1" s="1"/>
  <c r="O105" i="1" s="1"/>
  <c r="M104" i="1"/>
  <c r="L104" i="1"/>
  <c r="K104" i="1"/>
  <c r="J104" i="1"/>
  <c r="I104" i="1"/>
  <c r="H104" i="1"/>
  <c r="N104" i="1" s="1"/>
  <c r="O104" i="1" s="1"/>
  <c r="M103" i="1"/>
  <c r="L103" i="1"/>
  <c r="K103" i="1"/>
  <c r="J103" i="1"/>
  <c r="I103" i="1"/>
  <c r="H103" i="1"/>
  <c r="N103" i="1" s="1"/>
  <c r="O103" i="1" s="1"/>
  <c r="M102" i="1"/>
  <c r="L102" i="1"/>
  <c r="K102" i="1"/>
  <c r="J102" i="1"/>
  <c r="I102" i="1"/>
  <c r="H102" i="1"/>
  <c r="N102" i="1" s="1"/>
  <c r="O102" i="1" s="1"/>
  <c r="M101" i="1"/>
  <c r="L101" i="1"/>
  <c r="K101" i="1"/>
  <c r="J101" i="1"/>
  <c r="I101" i="1"/>
  <c r="H101" i="1"/>
  <c r="N101" i="1" s="1"/>
  <c r="O101" i="1" s="1"/>
  <c r="M100" i="1"/>
  <c r="L100" i="1"/>
  <c r="K100" i="1"/>
  <c r="J100" i="1"/>
  <c r="I100" i="1"/>
  <c r="H100" i="1"/>
  <c r="N100" i="1" s="1"/>
  <c r="O100" i="1" s="1"/>
  <c r="M99" i="1"/>
  <c r="L99" i="1"/>
  <c r="K99" i="1"/>
  <c r="J99" i="1"/>
  <c r="I99" i="1"/>
  <c r="H99" i="1"/>
  <c r="N99" i="1" s="1"/>
  <c r="O99" i="1" s="1"/>
  <c r="M98" i="1"/>
  <c r="L98" i="1"/>
  <c r="K98" i="1"/>
  <c r="J98" i="1"/>
  <c r="I98" i="1"/>
  <c r="H98" i="1"/>
  <c r="N98" i="1" s="1"/>
  <c r="O98" i="1" s="1"/>
  <c r="M97" i="1"/>
  <c r="L97" i="1"/>
  <c r="K97" i="1"/>
  <c r="J97" i="1"/>
  <c r="I97" i="1"/>
  <c r="H97" i="1"/>
  <c r="N97" i="1" s="1"/>
  <c r="O97" i="1" s="1"/>
  <c r="M95" i="1"/>
  <c r="L95" i="1"/>
  <c r="L179" i="1" s="1"/>
  <c r="K95" i="1"/>
  <c r="J95" i="1"/>
  <c r="I95" i="1"/>
  <c r="H95" i="1"/>
  <c r="H179" i="1" s="1"/>
  <c r="M93" i="1"/>
  <c r="L93" i="1"/>
  <c r="K93" i="1"/>
  <c r="J93" i="1"/>
  <c r="I93" i="1"/>
  <c r="H93" i="1"/>
  <c r="N93" i="1" s="1"/>
  <c r="O93" i="1" s="1"/>
  <c r="M92" i="1"/>
  <c r="L92" i="1"/>
  <c r="K92" i="1"/>
  <c r="J92" i="1"/>
  <c r="I92" i="1"/>
  <c r="H92" i="1"/>
  <c r="N92" i="1" s="1"/>
  <c r="O92" i="1" s="1"/>
  <c r="M91" i="1"/>
  <c r="L91" i="1"/>
  <c r="K91" i="1"/>
  <c r="J91" i="1"/>
  <c r="I91" i="1"/>
  <c r="H91" i="1"/>
  <c r="N91" i="1" s="1"/>
  <c r="O91" i="1" s="1"/>
  <c r="M90" i="1"/>
  <c r="L90" i="1"/>
  <c r="K90" i="1"/>
  <c r="J90" i="1"/>
  <c r="I90" i="1"/>
  <c r="H90" i="1"/>
  <c r="N90" i="1" s="1"/>
  <c r="O90" i="1" s="1"/>
  <c r="M89" i="1"/>
  <c r="L89" i="1"/>
  <c r="K89" i="1"/>
  <c r="J89" i="1"/>
  <c r="I89" i="1"/>
  <c r="H89" i="1"/>
  <c r="N89" i="1" s="1"/>
  <c r="O89" i="1" s="1"/>
  <c r="M88" i="1"/>
  <c r="L88" i="1"/>
  <c r="K88" i="1"/>
  <c r="J88" i="1"/>
  <c r="I88" i="1"/>
  <c r="H88" i="1"/>
  <c r="N88" i="1" s="1"/>
  <c r="O88" i="1" s="1"/>
  <c r="M87" i="1"/>
  <c r="L87" i="1"/>
  <c r="K87" i="1"/>
  <c r="J87" i="1"/>
  <c r="I87" i="1"/>
  <c r="H87" i="1"/>
  <c r="N87" i="1" s="1"/>
  <c r="O87" i="1" s="1"/>
  <c r="M86" i="1"/>
  <c r="L86" i="1"/>
  <c r="K86" i="1"/>
  <c r="J86" i="1"/>
  <c r="I86" i="1"/>
  <c r="H86" i="1"/>
  <c r="N86" i="1" s="1"/>
  <c r="O86" i="1" s="1"/>
  <c r="M85" i="1"/>
  <c r="L85" i="1"/>
  <c r="K85" i="1"/>
  <c r="J85" i="1"/>
  <c r="I85" i="1"/>
  <c r="H85" i="1"/>
  <c r="N85" i="1" s="1"/>
  <c r="O85" i="1" s="1"/>
  <c r="M84" i="1"/>
  <c r="L84" i="1"/>
  <c r="K84" i="1"/>
  <c r="J84" i="1"/>
  <c r="I84" i="1"/>
  <c r="H84" i="1"/>
  <c r="M83" i="1"/>
  <c r="L83" i="1"/>
  <c r="K83" i="1"/>
  <c r="J83" i="1"/>
  <c r="I83" i="1"/>
  <c r="H83" i="1"/>
  <c r="N83" i="1" s="1"/>
  <c r="O83" i="1" s="1"/>
  <c r="M82" i="1"/>
  <c r="L82" i="1"/>
  <c r="K82" i="1"/>
  <c r="J82" i="1"/>
  <c r="I82" i="1"/>
  <c r="H82" i="1"/>
  <c r="M81" i="1"/>
  <c r="L81" i="1"/>
  <c r="K81" i="1"/>
  <c r="J81" i="1"/>
  <c r="I81" i="1"/>
  <c r="H81" i="1"/>
  <c r="N81" i="1" s="1"/>
  <c r="O81" i="1" s="1"/>
  <c r="M80" i="1"/>
  <c r="L80" i="1"/>
  <c r="K80" i="1"/>
  <c r="J80" i="1"/>
  <c r="I80" i="1"/>
  <c r="H80" i="1"/>
  <c r="M79" i="1"/>
  <c r="L79" i="1"/>
  <c r="K79" i="1"/>
  <c r="J79" i="1"/>
  <c r="I79" i="1"/>
  <c r="H79" i="1"/>
  <c r="N79" i="1" s="1"/>
  <c r="O79" i="1" s="1"/>
  <c r="M78" i="1"/>
  <c r="L78" i="1"/>
  <c r="K78" i="1"/>
  <c r="J78" i="1"/>
  <c r="I78" i="1"/>
  <c r="H78" i="1"/>
  <c r="M77" i="1"/>
  <c r="L77" i="1"/>
  <c r="K77" i="1"/>
  <c r="J77" i="1"/>
  <c r="I77" i="1"/>
  <c r="H77" i="1"/>
  <c r="N77" i="1" s="1"/>
  <c r="O77" i="1" s="1"/>
  <c r="M76" i="1"/>
  <c r="L76" i="1"/>
  <c r="K76" i="1"/>
  <c r="J76" i="1"/>
  <c r="I76" i="1"/>
  <c r="H76" i="1"/>
  <c r="M74" i="1"/>
  <c r="L74" i="1"/>
  <c r="K74" i="1"/>
  <c r="J74" i="1"/>
  <c r="I74" i="1"/>
  <c r="H74" i="1"/>
  <c r="N74" i="1" s="1"/>
  <c r="O74" i="1" s="1"/>
  <c r="M73" i="1"/>
  <c r="L73" i="1"/>
  <c r="K73" i="1"/>
  <c r="J73" i="1"/>
  <c r="I73" i="1"/>
  <c r="H73" i="1"/>
  <c r="M72" i="1"/>
  <c r="L72" i="1"/>
  <c r="K72" i="1"/>
  <c r="J72" i="1"/>
  <c r="I72" i="1"/>
  <c r="H72" i="1"/>
  <c r="N72" i="1" s="1"/>
  <c r="O72" i="1" s="1"/>
  <c r="M71" i="1"/>
  <c r="L71" i="1"/>
  <c r="K71" i="1"/>
  <c r="J71" i="1"/>
  <c r="I71" i="1"/>
  <c r="H71" i="1"/>
  <c r="M70" i="1"/>
  <c r="L70" i="1"/>
  <c r="K70" i="1"/>
  <c r="J70" i="1"/>
  <c r="I70" i="1"/>
  <c r="H70" i="1"/>
  <c r="N70" i="1" s="1"/>
  <c r="O70" i="1" s="1"/>
  <c r="M69" i="1"/>
  <c r="L69" i="1"/>
  <c r="K69" i="1"/>
  <c r="J69" i="1"/>
  <c r="I69" i="1"/>
  <c r="H69" i="1"/>
  <c r="M67" i="1"/>
  <c r="L67" i="1"/>
  <c r="K67" i="1"/>
  <c r="J67" i="1"/>
  <c r="I67" i="1"/>
  <c r="H67" i="1"/>
  <c r="N67" i="1" s="1"/>
  <c r="O67" i="1" s="1"/>
  <c r="M66" i="1"/>
  <c r="L66" i="1"/>
  <c r="K66" i="1"/>
  <c r="J66" i="1"/>
  <c r="I66" i="1"/>
  <c r="H66" i="1"/>
  <c r="M65" i="1"/>
  <c r="L65" i="1"/>
  <c r="K65" i="1"/>
  <c r="J65" i="1"/>
  <c r="I65" i="1"/>
  <c r="H65" i="1"/>
  <c r="N65" i="1" s="1"/>
  <c r="O65" i="1" s="1"/>
  <c r="M64" i="1"/>
  <c r="L64" i="1"/>
  <c r="K64" i="1"/>
  <c r="J64" i="1"/>
  <c r="I64" i="1"/>
  <c r="H64" i="1"/>
  <c r="M63" i="1"/>
  <c r="L63" i="1"/>
  <c r="K63" i="1"/>
  <c r="J63" i="1"/>
  <c r="I63" i="1"/>
  <c r="H63" i="1"/>
  <c r="N63" i="1" s="1"/>
  <c r="O63" i="1" s="1"/>
  <c r="M61" i="1"/>
  <c r="L61" i="1"/>
  <c r="K61" i="1"/>
  <c r="J61" i="1"/>
  <c r="I61" i="1"/>
  <c r="H61" i="1"/>
  <c r="M60" i="1"/>
  <c r="L60" i="1"/>
  <c r="K60" i="1"/>
  <c r="J60" i="1"/>
  <c r="I60" i="1"/>
  <c r="H60" i="1"/>
  <c r="N60" i="1" s="1"/>
  <c r="O60" i="1" s="1"/>
  <c r="M59" i="1"/>
  <c r="L59" i="1"/>
  <c r="K59" i="1"/>
  <c r="J59" i="1"/>
  <c r="I59" i="1"/>
  <c r="H59" i="1"/>
  <c r="M58" i="1"/>
  <c r="L58" i="1"/>
  <c r="K58" i="1"/>
  <c r="J58" i="1"/>
  <c r="I58" i="1"/>
  <c r="H58" i="1"/>
  <c r="N58" i="1" s="1"/>
  <c r="O58" i="1" s="1"/>
  <c r="M57" i="1"/>
  <c r="L57" i="1"/>
  <c r="K57" i="1"/>
  <c r="J57" i="1"/>
  <c r="I57" i="1"/>
  <c r="H57" i="1"/>
  <c r="M55" i="1"/>
  <c r="L55" i="1"/>
  <c r="K55" i="1"/>
  <c r="J55" i="1"/>
  <c r="I55" i="1"/>
  <c r="H55" i="1"/>
  <c r="N55" i="1" s="1"/>
  <c r="O55" i="1" s="1"/>
  <c r="M54" i="1"/>
  <c r="L54" i="1"/>
  <c r="K54" i="1"/>
  <c r="J54" i="1"/>
  <c r="I54" i="1"/>
  <c r="H54" i="1"/>
  <c r="M52" i="1"/>
  <c r="L52" i="1"/>
  <c r="K52" i="1"/>
  <c r="J52" i="1"/>
  <c r="I52" i="1"/>
  <c r="H52" i="1"/>
  <c r="N52" i="1" s="1"/>
  <c r="O52" i="1" s="1"/>
  <c r="M51" i="1"/>
  <c r="L51" i="1"/>
  <c r="K51" i="1"/>
  <c r="J51" i="1"/>
  <c r="I51" i="1"/>
  <c r="H51" i="1"/>
  <c r="M50" i="1"/>
  <c r="L50" i="1"/>
  <c r="K50" i="1"/>
  <c r="J50" i="1"/>
  <c r="I50" i="1"/>
  <c r="H50" i="1"/>
  <c r="N50" i="1" s="1"/>
  <c r="O50" i="1" s="1"/>
  <c r="M49" i="1"/>
  <c r="L49" i="1"/>
  <c r="K49" i="1"/>
  <c r="J49" i="1"/>
  <c r="I49" i="1"/>
  <c r="H49" i="1"/>
  <c r="M48" i="1"/>
  <c r="L48" i="1"/>
  <c r="K48" i="1"/>
  <c r="J48" i="1"/>
  <c r="I48" i="1"/>
  <c r="H48" i="1"/>
  <c r="N48" i="1" s="1"/>
  <c r="O48" i="1" s="1"/>
  <c r="M47" i="1"/>
  <c r="L47" i="1"/>
  <c r="K47" i="1"/>
  <c r="J47" i="1"/>
  <c r="I47" i="1"/>
  <c r="H47" i="1"/>
  <c r="M45" i="1"/>
  <c r="L45" i="1"/>
  <c r="K45" i="1"/>
  <c r="J45" i="1"/>
  <c r="I45" i="1"/>
  <c r="H45" i="1"/>
  <c r="N45" i="1" s="1"/>
  <c r="O45" i="1" s="1"/>
  <c r="M44" i="1"/>
  <c r="L44" i="1"/>
  <c r="K44" i="1"/>
  <c r="J44" i="1"/>
  <c r="I44" i="1"/>
  <c r="H44" i="1"/>
  <c r="M43" i="1"/>
  <c r="L43" i="1"/>
  <c r="K43" i="1"/>
  <c r="J43" i="1"/>
  <c r="I43" i="1"/>
  <c r="H43" i="1"/>
  <c r="N43" i="1" s="1"/>
  <c r="O43" i="1" s="1"/>
  <c r="M42" i="1"/>
  <c r="L42" i="1"/>
  <c r="K42" i="1"/>
  <c r="J42" i="1"/>
  <c r="I42" i="1"/>
  <c r="H42" i="1"/>
  <c r="M40" i="1"/>
  <c r="L40" i="1"/>
  <c r="K40" i="1"/>
  <c r="J40" i="1"/>
  <c r="I40" i="1"/>
  <c r="H40" i="1"/>
  <c r="N40" i="1" s="1"/>
  <c r="O40" i="1" s="1"/>
  <c r="M39" i="1"/>
  <c r="L39" i="1"/>
  <c r="K39" i="1"/>
  <c r="J39" i="1"/>
  <c r="I39" i="1"/>
  <c r="H39" i="1"/>
  <c r="M38" i="1"/>
  <c r="L38" i="1"/>
  <c r="K38" i="1"/>
  <c r="J38" i="1"/>
  <c r="I38" i="1"/>
  <c r="H38" i="1"/>
  <c r="N38" i="1" s="1"/>
  <c r="O38" i="1" s="1"/>
  <c r="M37" i="1"/>
  <c r="L37" i="1"/>
  <c r="K37" i="1"/>
  <c r="J37" i="1"/>
  <c r="I37" i="1"/>
  <c r="H37" i="1"/>
  <c r="M36" i="1"/>
  <c r="L36" i="1"/>
  <c r="K36" i="1"/>
  <c r="J36" i="1"/>
  <c r="I36" i="1"/>
  <c r="H36" i="1"/>
  <c r="N36" i="1" s="1"/>
  <c r="O36" i="1" s="1"/>
  <c r="M35" i="1"/>
  <c r="L35" i="1"/>
  <c r="K35" i="1"/>
  <c r="J35" i="1"/>
  <c r="I35" i="1"/>
  <c r="H35" i="1"/>
  <c r="M34" i="1"/>
  <c r="L34" i="1"/>
  <c r="K34" i="1"/>
  <c r="J34" i="1"/>
  <c r="I34" i="1"/>
  <c r="H34" i="1"/>
  <c r="N34" i="1" s="1"/>
  <c r="O34" i="1" s="1"/>
  <c r="M33" i="1"/>
  <c r="L33" i="1"/>
  <c r="K33" i="1"/>
  <c r="J33" i="1"/>
  <c r="I33" i="1"/>
  <c r="H33" i="1"/>
  <c r="M32" i="1"/>
  <c r="L32" i="1"/>
  <c r="K32" i="1"/>
  <c r="J32" i="1"/>
  <c r="I32" i="1"/>
  <c r="H32" i="1"/>
  <c r="N32" i="1" s="1"/>
  <c r="O32" i="1" s="1"/>
  <c r="M31" i="1"/>
  <c r="L31" i="1"/>
  <c r="K31" i="1"/>
  <c r="J31" i="1"/>
  <c r="I31" i="1"/>
  <c r="H31" i="1"/>
  <c r="M29" i="1"/>
  <c r="L29" i="1"/>
  <c r="K29" i="1"/>
  <c r="J29" i="1"/>
  <c r="I29" i="1"/>
  <c r="H29" i="1"/>
  <c r="N29" i="1" s="1"/>
  <c r="O29" i="1" s="1"/>
  <c r="M28" i="1"/>
  <c r="L28" i="1"/>
  <c r="K28" i="1"/>
  <c r="J28" i="1"/>
  <c r="I28" i="1"/>
  <c r="H28" i="1"/>
  <c r="M27" i="1"/>
  <c r="L27" i="1"/>
  <c r="K27" i="1"/>
  <c r="J27" i="1"/>
  <c r="I27" i="1"/>
  <c r="H27" i="1"/>
  <c r="N27" i="1" s="1"/>
  <c r="O27" i="1" s="1"/>
  <c r="M26" i="1"/>
  <c r="L26" i="1"/>
  <c r="K26" i="1"/>
  <c r="J26" i="1"/>
  <c r="I26" i="1"/>
  <c r="H26" i="1"/>
  <c r="M24" i="1"/>
  <c r="L24" i="1"/>
  <c r="K24" i="1"/>
  <c r="J24" i="1"/>
  <c r="I24" i="1"/>
  <c r="H24" i="1"/>
  <c r="N24" i="1" s="1"/>
  <c r="O24" i="1" s="1"/>
  <c r="M22" i="1"/>
  <c r="L22" i="1"/>
  <c r="K22" i="1"/>
  <c r="J22" i="1"/>
  <c r="I22" i="1"/>
  <c r="H22" i="1"/>
  <c r="M21" i="1"/>
  <c r="L21" i="1"/>
  <c r="K21" i="1"/>
  <c r="J21" i="1"/>
  <c r="I21" i="1"/>
  <c r="H21" i="1"/>
  <c r="N21" i="1" s="1"/>
  <c r="O21" i="1" s="1"/>
  <c r="M20" i="1"/>
  <c r="L20" i="1"/>
  <c r="K20" i="1"/>
  <c r="J20" i="1"/>
  <c r="I20" i="1"/>
  <c r="H20" i="1"/>
  <c r="M19" i="1"/>
  <c r="L19" i="1"/>
  <c r="K19" i="1"/>
  <c r="J19" i="1"/>
  <c r="I19" i="1"/>
  <c r="H19" i="1"/>
  <c r="N19" i="1" s="1"/>
  <c r="O19" i="1" s="1"/>
  <c r="M18" i="1"/>
  <c r="L18" i="1"/>
  <c r="K18" i="1"/>
  <c r="J18" i="1"/>
  <c r="I18" i="1"/>
  <c r="H18" i="1"/>
  <c r="M17" i="1"/>
  <c r="L17" i="1"/>
  <c r="K17" i="1"/>
  <c r="J17" i="1"/>
  <c r="I17" i="1"/>
  <c r="H17" i="1"/>
  <c r="N17" i="1" s="1"/>
  <c r="O17" i="1" s="1"/>
  <c r="M16" i="1"/>
  <c r="L16" i="1"/>
  <c r="K16" i="1"/>
  <c r="J16" i="1"/>
  <c r="I16" i="1"/>
  <c r="H16" i="1"/>
  <c r="M15" i="1"/>
  <c r="L15" i="1"/>
  <c r="K15" i="1"/>
  <c r="J15" i="1"/>
  <c r="I15" i="1"/>
  <c r="H15" i="1"/>
  <c r="N15" i="1" s="1"/>
  <c r="O15" i="1" s="1"/>
  <c r="M14" i="1"/>
  <c r="L14" i="1"/>
  <c r="K14" i="1"/>
  <c r="J14" i="1"/>
  <c r="I14" i="1"/>
  <c r="H14" i="1"/>
  <c r="M12" i="1"/>
  <c r="L12" i="1"/>
  <c r="K12" i="1"/>
  <c r="J12" i="1"/>
  <c r="I12" i="1"/>
  <c r="H12" i="1"/>
  <c r="N12" i="1" s="1"/>
  <c r="O12" i="1" s="1"/>
  <c r="M11" i="1"/>
  <c r="L11" i="1"/>
  <c r="K11" i="1"/>
  <c r="J11" i="1"/>
  <c r="I11" i="1"/>
  <c r="H11" i="1"/>
  <c r="M10" i="1"/>
  <c r="L10" i="1"/>
  <c r="K10" i="1"/>
  <c r="J10" i="1"/>
  <c r="I10" i="1"/>
  <c r="H10" i="1"/>
  <c r="N10" i="1" s="1"/>
  <c r="O10" i="1" s="1"/>
  <c r="M9" i="1"/>
  <c r="L9" i="1"/>
  <c r="K9" i="1"/>
  <c r="J9" i="1"/>
  <c r="I9" i="1"/>
  <c r="H9" i="1"/>
  <c r="M8" i="1"/>
  <c r="L8" i="1"/>
  <c r="K8" i="1"/>
  <c r="J8" i="1"/>
  <c r="I8" i="1"/>
  <c r="H8" i="1"/>
  <c r="N8" i="1" s="1"/>
  <c r="O8" i="1" s="1"/>
  <c r="M7" i="1"/>
  <c r="L7" i="1"/>
  <c r="K7" i="1"/>
  <c r="J7" i="1"/>
  <c r="I7" i="1"/>
  <c r="H7" i="1"/>
  <c r="M6" i="1"/>
  <c r="L6" i="1"/>
  <c r="K6" i="1"/>
  <c r="J6" i="1"/>
  <c r="I6" i="1"/>
  <c r="H6" i="1"/>
  <c r="N6" i="1" s="1"/>
  <c r="O6" i="1" s="1"/>
  <c r="M5" i="1"/>
  <c r="M179" i="1" s="1"/>
  <c r="L5" i="1"/>
  <c r="K5" i="1"/>
  <c r="K179" i="1" s="1"/>
  <c r="J5" i="1"/>
  <c r="J179" i="1" s="1"/>
  <c r="I5" i="1"/>
  <c r="I179" i="1" s="1"/>
  <c r="H5" i="1"/>
  <c r="N5" i="1" l="1"/>
  <c r="N7" i="1"/>
  <c r="O7" i="1" s="1"/>
  <c r="N9" i="1"/>
  <c r="O9" i="1" s="1"/>
  <c r="N11" i="1"/>
  <c r="O11" i="1" s="1"/>
  <c r="N14" i="1"/>
  <c r="O14" i="1" s="1"/>
  <c r="N16" i="1"/>
  <c r="O16" i="1" s="1"/>
  <c r="N18" i="1"/>
  <c r="O18" i="1" s="1"/>
  <c r="N20" i="1"/>
  <c r="O20" i="1" s="1"/>
  <c r="N22" i="1"/>
  <c r="O22" i="1" s="1"/>
  <c r="N26" i="1"/>
  <c r="O26" i="1" s="1"/>
  <c r="N28" i="1"/>
  <c r="O28" i="1" s="1"/>
  <c r="N31" i="1"/>
  <c r="O31" i="1" s="1"/>
  <c r="N33" i="1"/>
  <c r="O33" i="1" s="1"/>
  <c r="N35" i="1"/>
  <c r="O35" i="1" s="1"/>
  <c r="N37" i="1"/>
  <c r="O37" i="1" s="1"/>
  <c r="N39" i="1"/>
  <c r="O39" i="1" s="1"/>
  <c r="N42" i="1"/>
  <c r="O42" i="1" s="1"/>
  <c r="N44" i="1"/>
  <c r="O44" i="1" s="1"/>
  <c r="N47" i="1"/>
  <c r="O47" i="1" s="1"/>
  <c r="N49" i="1"/>
  <c r="O49" i="1" s="1"/>
  <c r="N51" i="1"/>
  <c r="O51" i="1" s="1"/>
  <c r="N54" i="1"/>
  <c r="O54" i="1" s="1"/>
  <c r="N57" i="1"/>
  <c r="O57" i="1" s="1"/>
  <c r="N59" i="1"/>
  <c r="O59" i="1" s="1"/>
  <c r="N61" i="1"/>
  <c r="O61" i="1" s="1"/>
  <c r="N64" i="1"/>
  <c r="O64" i="1" s="1"/>
  <c r="N66" i="1"/>
  <c r="O66" i="1" s="1"/>
  <c r="N69" i="1"/>
  <c r="O69" i="1" s="1"/>
  <c r="N71" i="1"/>
  <c r="O71" i="1" s="1"/>
  <c r="N73" i="1"/>
  <c r="O73" i="1" s="1"/>
  <c r="N76" i="1"/>
  <c r="O76" i="1" s="1"/>
  <c r="N78" i="1"/>
  <c r="O78" i="1" s="1"/>
  <c r="N80" i="1"/>
  <c r="O80" i="1" s="1"/>
  <c r="N82" i="1"/>
  <c r="O82" i="1" s="1"/>
  <c r="N84" i="1"/>
  <c r="O84" i="1" s="1"/>
  <c r="N95" i="1"/>
  <c r="O95" i="1" s="1"/>
  <c r="N179" i="1" l="1"/>
  <c r="O5" i="1"/>
  <c r="O179" i="1" s="1"/>
</calcChain>
</file>

<file path=xl/sharedStrings.xml><?xml version="1.0" encoding="utf-8"?>
<sst xmlns="http://schemas.openxmlformats.org/spreadsheetml/2006/main" count="529" uniqueCount="482">
  <si>
    <t/>
  </si>
  <si>
    <t>№ ПП</t>
  </si>
  <si>
    <t>КОД</t>
  </si>
  <si>
    <t>НАЗВАНИЕ РАБОТЫ</t>
  </si>
  <si>
    <t>ИЗМЕРИТЕЛЬ</t>
  </si>
  <si>
    <t>КОЛ-ВО ЕД. ИЗМ.</t>
  </si>
  <si>
    <t>ПЕРИОДИЧ- НОСТЬ В ГОД</t>
  </si>
  <si>
    <t>ТРУД. РЕСУРСЫ, РУБ.</t>
  </si>
  <si>
    <t>МАТЕР. РЕСУРСЫ, РУБ.</t>
  </si>
  <si>
    <t>МАШ. МЕХ., РУБ.</t>
  </si>
  <si>
    <t>НАКЛ. РАСХОДЫ, РУБ.</t>
  </si>
  <si>
    <t>ПРИБЫЛЬ, РУБ.</t>
  </si>
  <si>
    <t>РАСХОДЫ НА УПРАВ., РУБ.</t>
  </si>
  <si>
    <t>СТОИМОСТЬ, РУБ.</t>
  </si>
  <si>
    <t>НА КВ.М/МЕС</t>
  </si>
  <si>
    <t>Дата изменения:</t>
  </si>
  <si>
    <t>25.11.2024</t>
  </si>
  <si>
    <t>Общая площадь, кв.м:</t>
  </si>
  <si>
    <t>1.1</t>
  </si>
  <si>
    <t>Фундаменты</t>
  </si>
  <si>
    <t>1.1.2.3</t>
  </si>
  <si>
    <t>Осушение электрическими насосами</t>
  </si>
  <si>
    <t>100 м3 воды</t>
  </si>
  <si>
    <t>1.1.3.1</t>
  </si>
  <si>
    <t>Замена поврежденного участка трубопровода диаметром до 100 мм</t>
  </si>
  <si>
    <t>1 участок (6 м)</t>
  </si>
  <si>
    <t>1.1.7.2</t>
  </si>
  <si>
    <t>Замена неисправных участков сети электрической сети (открытая проводка) при числе и сечении жил в проводе 2х1,5 и 2х2,5 кв.м</t>
  </si>
  <si>
    <t>100 пог.м</t>
  </si>
  <si>
    <t>1.1.7.3</t>
  </si>
  <si>
    <t>Замена ламп накаливания</t>
  </si>
  <si>
    <t>100 шт.</t>
  </si>
  <si>
    <t>1.1.7.4</t>
  </si>
  <si>
    <t>Замена выключателей</t>
  </si>
  <si>
    <t>1.1.8</t>
  </si>
  <si>
    <t>Восстановление (ремонт)  решеток на  продухах  фундамента</t>
  </si>
  <si>
    <t>100 решеток</t>
  </si>
  <si>
    <t>1.1.10</t>
  </si>
  <si>
    <t>Восстановление (ремонт) отмостки</t>
  </si>
  <si>
    <t>100 м2 отмостки</t>
  </si>
  <si>
    <t>1.1.12</t>
  </si>
  <si>
    <t>Восстановление (ремонт) вводов инженерных коммуникаций   в подвальные  помещения  через  фундаменты</t>
  </si>
  <si>
    <t>1.2</t>
  </si>
  <si>
    <t>Кирпичные, каменные и железобетонные стены</t>
  </si>
  <si>
    <t>1.2.11.1.1</t>
  </si>
  <si>
    <t>Заделка и герметизация швов и стыков в стенах крупноблочных и крупнопанельных домов</t>
  </si>
  <si>
    <t>на 10 м шва (стыка)</t>
  </si>
  <si>
    <t>1.2.11.1.2</t>
  </si>
  <si>
    <t>Заделка и герметизация швов и стыков в местах примыкания балконных плит к стенам</t>
  </si>
  <si>
    <t>1.2.12.3.1</t>
  </si>
  <si>
    <t>Окрашивание гладких  кирпичных фасадов известковыми  составами</t>
  </si>
  <si>
    <t>100 м2 обработанной поверхности</t>
  </si>
  <si>
    <t>1.2.17.3.2</t>
  </si>
  <si>
    <t>Улучшенная масляная окраска ранее окрашенных поверхностей</t>
  </si>
  <si>
    <t>100 м2 окрашенной поверхности</t>
  </si>
  <si>
    <t>1.2.17.4.3</t>
  </si>
  <si>
    <t>Окрашивание водоэмульсионными составами поверхностей стен, ранее окрашенных водоэмульсионной краской с расчисткой старой краски более 35%</t>
  </si>
  <si>
    <t>100 м2 окрашиваемой поверхности</t>
  </si>
  <si>
    <t>1.2.18.1</t>
  </si>
  <si>
    <t>Ремонт внутренней штукатурки потолков отдельными местами</t>
  </si>
  <si>
    <t>100 кв. м</t>
  </si>
  <si>
    <t>1.2.18.3</t>
  </si>
  <si>
    <t>Перетирка штукатурки поверхности потолков</t>
  </si>
  <si>
    <t>100 кв.м</t>
  </si>
  <si>
    <t>1.2.18.11</t>
  </si>
  <si>
    <t>Окрашивание водоэмульсионными составами поверхностей потолков, ранее окрашенных водоэмульсионной краской с расчисткой старой краски более 35%</t>
  </si>
  <si>
    <t>1.2.18.12</t>
  </si>
  <si>
    <t>Перетирка штукатурки поверхностей стен и перегородок</t>
  </si>
  <si>
    <t>100 м2 поверхности</t>
  </si>
  <si>
    <t>1.4</t>
  </si>
  <si>
    <t>Балконы, козырьки, лоджии и эркеры</t>
  </si>
  <si>
    <t>1.4.3.3</t>
  </si>
  <si>
    <t>Ремонт гидроизоляции козырьков</t>
  </si>
  <si>
    <t>100 кв.м.</t>
  </si>
  <si>
    <t>1.8</t>
  </si>
  <si>
    <t>Крыши и кровли</t>
  </si>
  <si>
    <t>1.8.1.3.1</t>
  </si>
  <si>
    <t>Постановка заплат на покрытия из мягкой кровли</t>
  </si>
  <si>
    <t>100 м2 покрытий</t>
  </si>
  <si>
    <t>1.8.2.2.1</t>
  </si>
  <si>
    <t>Смена мягкой кровли в два слоя отдельными местами</t>
  </si>
  <si>
    <t>100 м2 сменяемого покрытия</t>
  </si>
  <si>
    <t>1.8.9.1</t>
  </si>
  <si>
    <t>Окраска масляными составами ранее окрашенных металлических лестниц и дверей на крышу за 1 раз</t>
  </si>
  <si>
    <t>1.8.10.4</t>
  </si>
  <si>
    <t>Ремонт металлических парапетных решеток</t>
  </si>
  <si>
    <t>100 м решетки</t>
  </si>
  <si>
    <t>1.9</t>
  </si>
  <si>
    <t>Оконные и дверные проемы</t>
  </si>
  <si>
    <t>1.9.1.8</t>
  </si>
  <si>
    <t>Ремонт порогов шириной 100 мм</t>
  </si>
  <si>
    <t>100 отремонтированных мест</t>
  </si>
  <si>
    <t>1.9.1.10</t>
  </si>
  <si>
    <t>Смена дверных петель при одной сменяемой петле в полотне</t>
  </si>
  <si>
    <t>10 петель</t>
  </si>
  <si>
    <t>1.9.1.12</t>
  </si>
  <si>
    <t>Смена наличников дверных проемов из мягкой древесины с укреплением гвоздями</t>
  </si>
  <si>
    <t>1 п.м. наличника</t>
  </si>
  <si>
    <t>1.9.1.15</t>
  </si>
  <si>
    <t>Укрепление наличников дверных проемов</t>
  </si>
  <si>
    <t>1.9.1.16</t>
  </si>
  <si>
    <t>Смена пружины</t>
  </si>
  <si>
    <t>1 пружина</t>
  </si>
  <si>
    <t>1.9.1.17</t>
  </si>
  <si>
    <t>Смена ручки дверной</t>
  </si>
  <si>
    <t>1 ручка</t>
  </si>
  <si>
    <t>1.9.1.23</t>
  </si>
  <si>
    <t>Улучшенная масляная окраска дверей</t>
  </si>
  <si>
    <t>1.9.1.24</t>
  </si>
  <si>
    <t>Установка дверного доводчика к металлическим дверям</t>
  </si>
  <si>
    <t>1 доводчик</t>
  </si>
  <si>
    <t>1.9.1.25</t>
  </si>
  <si>
    <t>Установка дверного доводчика к дверям из древесины</t>
  </si>
  <si>
    <t>1 прибор</t>
  </si>
  <si>
    <t>1.9.1.26</t>
  </si>
  <si>
    <t>Установка дверей и заслонок в проемах подвальных и чердачных помещений</t>
  </si>
  <si>
    <t>1 полотно</t>
  </si>
  <si>
    <t>1.10</t>
  </si>
  <si>
    <t>Лестницы</t>
  </si>
  <si>
    <t>1.10.3.2</t>
  </si>
  <si>
    <t>Укрепление стоек металлических решеток ограждения  лестниц и площадок</t>
  </si>
  <si>
    <t>100 укрепляемых  стоек</t>
  </si>
  <si>
    <t>1.10.4.1.1</t>
  </si>
  <si>
    <t>Смена прямых  частей поручней</t>
  </si>
  <si>
    <t>100 м</t>
  </si>
  <si>
    <t>1.10.5.2</t>
  </si>
  <si>
    <t>Окраска масляными составами ранее окрашенных металлических решеток без рельефа за 2 раза</t>
  </si>
  <si>
    <t xml:space="preserve"> 100 м2 окрашиваемой поверхности</t>
  </si>
  <si>
    <t>1.10.7.2</t>
  </si>
  <si>
    <t>Окрашивание масляными составами деревянных поручней</t>
  </si>
  <si>
    <t>100  м поручня</t>
  </si>
  <si>
    <t>2.1</t>
  </si>
  <si>
    <t>Система теплоснабжения</t>
  </si>
  <si>
    <t>2.1.2.1.6</t>
  </si>
  <si>
    <t>Смена отдельных участков трубопроводов из стальных водогазопроводных неоцинкованных труб диаметром 50 мм</t>
  </si>
  <si>
    <t>100 м трубопровода</t>
  </si>
  <si>
    <t>2.1.3.1.2</t>
  </si>
  <si>
    <t>Смена радиаторных блоков, вес радиаторного блока до 80 кг</t>
  </si>
  <si>
    <t>100 радиаторных блоков</t>
  </si>
  <si>
    <t>2.1.3.5.1</t>
  </si>
  <si>
    <t>Прочистка и промывка отопительных приборов радиаторов весом до 80 кг внутри здания</t>
  </si>
  <si>
    <t>100 приборов</t>
  </si>
  <si>
    <t>2.1.6.2</t>
  </si>
  <si>
    <t>Замена прибора учета</t>
  </si>
  <si>
    <t>прибор</t>
  </si>
  <si>
    <t>2.1.8.7.1</t>
  </si>
  <si>
    <t>Смена пробковых кранов диаметром до 25 мм</t>
  </si>
  <si>
    <t>100 кранов</t>
  </si>
  <si>
    <t>2.1.8.9.1</t>
  </si>
  <si>
    <t>Установка кранов для спуска воздуха из системы, диаметр крана 15-20 мм</t>
  </si>
  <si>
    <t>2.2</t>
  </si>
  <si>
    <t>Системы холодного и горячего водоснабжения</t>
  </si>
  <si>
    <t>2.2.4</t>
  </si>
  <si>
    <t>Теплоизоляция сетей  горячего  водоснабжения</t>
  </si>
  <si>
    <t>100 м2 утепленного участка</t>
  </si>
  <si>
    <t>2.2.6.5</t>
  </si>
  <si>
    <t>Смена задвижек диаметром до 100 мм</t>
  </si>
  <si>
    <t>2.3</t>
  </si>
  <si>
    <t>Система водоотведения</t>
  </si>
  <si>
    <t>2.3.2.2</t>
  </si>
  <si>
    <t>Смена отдельных участков чугунных труб и  внутренних чугунных канализационных выпусков при диаметре канализационного выпуска 100 мм</t>
  </si>
  <si>
    <t>100 м трубопроводов</t>
  </si>
  <si>
    <t>2.3.3.3.3</t>
  </si>
  <si>
    <t>Подчеканка раструбов  чугунных  канализационных труб диаметром до 100 мм</t>
  </si>
  <si>
    <t>100  раструбов</t>
  </si>
  <si>
    <t>2.3.4</t>
  </si>
  <si>
    <t>Устранение засоров внутренних канализационных трубопроводов</t>
  </si>
  <si>
    <t>100 м трубы</t>
  </si>
  <si>
    <t>2.3.5</t>
  </si>
  <si>
    <t>Заделка стыков соединений стояков внутренних водостоков</t>
  </si>
  <si>
    <t>100 соединений</t>
  </si>
  <si>
    <t>2.3.7</t>
  </si>
  <si>
    <t>Набивка сальников компенсационных патрубков на стояках внутренних водостоков</t>
  </si>
  <si>
    <t>100 патрубков</t>
  </si>
  <si>
    <t>2.4</t>
  </si>
  <si>
    <t>Система газоснабжения</t>
  </si>
  <si>
    <t>2.4.1.1.2</t>
  </si>
  <si>
    <t>Техническое обслуживание внутридомовых газопроводов диаметром 25-50 мм</t>
  </si>
  <si>
    <t>100 пог. м.</t>
  </si>
  <si>
    <t>2.4.1.2.2</t>
  </si>
  <si>
    <t>Устранение неплотности соединений газопровода диаметром 25 мм</t>
  </si>
  <si>
    <t>1 соединение</t>
  </si>
  <si>
    <t>2.4.2.9.2</t>
  </si>
  <si>
    <t>Проверка герметичности внутридомового газопровода и технологических устройств на нем при количестве приборов на одном стояке 6-10 шт.</t>
  </si>
  <si>
    <t>стояк</t>
  </si>
  <si>
    <t>2.4.2.9.3</t>
  </si>
  <si>
    <t>Проверка герметичности внутридомового газопровода и технологических устройств на нем при количестве приборов на одном стояке 11-15 шт.</t>
  </si>
  <si>
    <t>2.4.2.9.5</t>
  </si>
  <si>
    <t>Проверка на герметичность фланцевых, резьбовых соединений и сварных стыков на газопроводе в подъезде здания при диаметре до 32 мм</t>
  </si>
  <si>
    <t>10 шт.</t>
  </si>
  <si>
    <t>2.5</t>
  </si>
  <si>
    <t>Внутридомовое электро-, радио- и телеоборудование</t>
  </si>
  <si>
    <t>2.5.1.4</t>
  </si>
  <si>
    <t>Замена предохранителя</t>
  </si>
  <si>
    <t>1 предохранитель</t>
  </si>
  <si>
    <t>2.5.4</t>
  </si>
  <si>
    <t>Ремонт, замена  внутридомовых электрических сетей</t>
  </si>
  <si>
    <t>1000 пог.м.</t>
  </si>
  <si>
    <t>2.5.5.2</t>
  </si>
  <si>
    <t>Ремонт щитков</t>
  </si>
  <si>
    <t>1 щит</t>
  </si>
  <si>
    <t>2.5.7.1</t>
  </si>
  <si>
    <t>Замена выключателя</t>
  </si>
  <si>
    <t>1 выключатель</t>
  </si>
  <si>
    <t>2.5.7.2</t>
  </si>
  <si>
    <t>Замена светильника с лампами накаливания или энергосберегающими лампами</t>
  </si>
  <si>
    <t>1 светильник</t>
  </si>
  <si>
    <t>2.5.10</t>
  </si>
  <si>
    <t>Смена розеток</t>
  </si>
  <si>
    <t>2.6</t>
  </si>
  <si>
    <t>Подготовка многоквартирного дома к сезонной эксплуатации, проведение технических осмотров</t>
  </si>
  <si>
    <t>2.6.5</t>
  </si>
  <si>
    <t>Утепление и прочистка дымовентиляционных каналов</t>
  </si>
  <si>
    <t>1000 кв.м. общей площади</t>
  </si>
  <si>
    <t>2.6.8.1</t>
  </si>
  <si>
    <t>Осмотр территории вокруг здания и фундамента</t>
  </si>
  <si>
    <t>2.6.8.2</t>
  </si>
  <si>
    <t>Осмотр кирпичных и железобетонных стен, фасадов</t>
  </si>
  <si>
    <t>2.6.8.6</t>
  </si>
  <si>
    <t>Осмотр железобетонных перекрытий</t>
  </si>
  <si>
    <t>2.6.8.8</t>
  </si>
  <si>
    <t>Осмотр внутренней отделки стен</t>
  </si>
  <si>
    <t>2.6.9.2</t>
  </si>
  <si>
    <t>Осмотр всех элементов рулонных кровель, водостоков</t>
  </si>
  <si>
    <t>1000 кв.м. кровли</t>
  </si>
  <si>
    <t>2.6.11.1</t>
  </si>
  <si>
    <t>Осмотр водопровода, канализации и горячего водоснабжения</t>
  </si>
  <si>
    <t>100 квартир</t>
  </si>
  <si>
    <t>2.6.11.2</t>
  </si>
  <si>
    <t>Промывка участка водопровода</t>
  </si>
  <si>
    <t>100 куб.м. здания</t>
  </si>
  <si>
    <t>2.6.11.3</t>
  </si>
  <si>
    <t>Прочистка канализационного лежака</t>
  </si>
  <si>
    <t>100 м канализационного лежака</t>
  </si>
  <si>
    <t>2.6.11.4</t>
  </si>
  <si>
    <t>Проверка исправности  канализационных  вытяжек</t>
  </si>
  <si>
    <t>2.6.12.2</t>
  </si>
  <si>
    <t>Проведение технических осмотров и устранение незначительных неисправностей в системе вентиляции</t>
  </si>
  <si>
    <t>2.6.13.4</t>
  </si>
  <si>
    <t>Проверка заземления оболочки электрокабеля</t>
  </si>
  <si>
    <t>2.6.14.1.2</t>
  </si>
  <si>
    <t>Осмотр устройства системы центрального отопления в чердачных и подвальных помещениях</t>
  </si>
  <si>
    <t>1000 м2 осматриваемых помещений</t>
  </si>
  <si>
    <t>2.6.14.2</t>
  </si>
  <si>
    <t>Регулировка и наладка систем отопления</t>
  </si>
  <si>
    <t>1 здание</t>
  </si>
  <si>
    <t>2.6.14.3.5</t>
  </si>
  <si>
    <t>Рабочая проверка системы в целом при диаметре трубопровода до 100 мм</t>
  </si>
  <si>
    <t>2.6.14.4.2</t>
  </si>
  <si>
    <t>Промывка трубопроводов системы центрального отопления до 100 мм</t>
  </si>
  <si>
    <t>10 м трубопровода (100 м3 здания)</t>
  </si>
  <si>
    <t>2.6.14.5.3</t>
  </si>
  <si>
    <t>Вывертывание и ввертывание радиаторной пробки</t>
  </si>
  <si>
    <t>100 пробок</t>
  </si>
  <si>
    <t>2.6.14.5.5.1</t>
  </si>
  <si>
    <t>Ликвидация воздушных пробок в стояке системы отопления</t>
  </si>
  <si>
    <t>100 стояков</t>
  </si>
  <si>
    <t>2.7</t>
  </si>
  <si>
    <t>Устранение аварии и выполнение заявок населения</t>
  </si>
  <si>
    <t>2.7.1.3</t>
  </si>
  <si>
    <t>Устранение аварии на внутридомовых инженерных сетях при сроке эксплуатации многоквартирного дома от 31 до 50 лет</t>
  </si>
  <si>
    <t>1000 м2  общей площади жилых помещений, оборудованных газовыми плитами (в год для одной смены)</t>
  </si>
  <si>
    <t>2.10</t>
  </si>
  <si>
    <t>Лифты</t>
  </si>
  <si>
    <t>2.10.1.1</t>
  </si>
  <si>
    <t>Диспетчерское обслуживание лифтов</t>
  </si>
  <si>
    <t xml:space="preserve"> пульт управления оборудованием жилых зданий</t>
  </si>
  <si>
    <t>2.10.1.2.2</t>
  </si>
  <si>
    <t>Ежедневное обслуживание лифтов в многоквартирных домах высотой 6-9 этажей</t>
  </si>
  <si>
    <t>1 лифт</t>
  </si>
  <si>
    <t>2.10.1.3.1</t>
  </si>
  <si>
    <t>Проверка двухсторонней переговорной связи и сигналов неисправности лифта из кабины</t>
  </si>
  <si>
    <t>1 кабина</t>
  </si>
  <si>
    <t>2.10.1.3.2</t>
  </si>
  <si>
    <t>Проверка машинного помещения</t>
  </si>
  <si>
    <t>1 машинное помещение</t>
  </si>
  <si>
    <t>2.10.1.3.3</t>
  </si>
  <si>
    <t>Проверка санитарного состояния крыши кабины и приямка шахты</t>
  </si>
  <si>
    <t>2.10.1.3.4</t>
  </si>
  <si>
    <t>Проверка освещения лифта</t>
  </si>
  <si>
    <t>2.10.1.3.5</t>
  </si>
  <si>
    <t>Проверка точности остановок и работы лифта по вызовам</t>
  </si>
  <si>
    <t>1 этаж</t>
  </si>
  <si>
    <t>2.10.1.3.6</t>
  </si>
  <si>
    <t>Проверка точности остановок и работы лифта по приказам</t>
  </si>
  <si>
    <t>2.10.1.3.7</t>
  </si>
  <si>
    <t>Проверка ограждения и надежности запирания дверей шахты (ДШ)</t>
  </si>
  <si>
    <t>2.10.1.3.9</t>
  </si>
  <si>
    <t>Проверка купе кабины лифта</t>
  </si>
  <si>
    <t>1 купе</t>
  </si>
  <si>
    <t>2.10.1.4.2.1</t>
  </si>
  <si>
    <t>Тормозное устройство</t>
  </si>
  <si>
    <t>1 тормозное устройство</t>
  </si>
  <si>
    <t>2.10.1.4.2.2</t>
  </si>
  <si>
    <t>Проверка работы лифта</t>
  </si>
  <si>
    <t>2.10.1.4.2.3</t>
  </si>
  <si>
    <t>Шахта</t>
  </si>
  <si>
    <t>2.10.1.4.2.4</t>
  </si>
  <si>
    <t>Двери шахты лифта автоматические</t>
  </si>
  <si>
    <t>2.10.1.4.2.7</t>
  </si>
  <si>
    <t>Направляющая кабины или противовеса</t>
  </si>
  <si>
    <t>2.10.1.4.2.8</t>
  </si>
  <si>
    <t>Электромагнит тормозного устройства</t>
  </si>
  <si>
    <t>электромагнит</t>
  </si>
  <si>
    <t>2.10.1.4.2.9</t>
  </si>
  <si>
    <t>Канатоведущий шкив (КВШ)</t>
  </si>
  <si>
    <t>КВШ</t>
  </si>
  <si>
    <t>2.10.1.4.2.10</t>
  </si>
  <si>
    <t>Подвеска кабины</t>
  </si>
  <si>
    <t>подвеска</t>
  </si>
  <si>
    <t>2.10.1.4.2.11</t>
  </si>
  <si>
    <t>Устройство слабины подъемных канатов (СПК)</t>
  </si>
  <si>
    <t>1 устройство</t>
  </si>
  <si>
    <t>2.10.1.4.2.13</t>
  </si>
  <si>
    <t>Ловители</t>
  </si>
  <si>
    <t>1 система</t>
  </si>
  <si>
    <t>2.10.1.4.2.14</t>
  </si>
  <si>
    <t>Башмаки кабины и противовеса</t>
  </si>
  <si>
    <t>1 башмак</t>
  </si>
  <si>
    <t>2.10.1.4.2.15</t>
  </si>
  <si>
    <t>Пост управления</t>
  </si>
  <si>
    <t>2.10.1.4.2.16</t>
  </si>
  <si>
    <t>Подвижный пол кабины</t>
  </si>
  <si>
    <t>2.10.1.4.2.17</t>
  </si>
  <si>
    <t>Кабина лифта</t>
  </si>
  <si>
    <t>2.10.1.4.2.19</t>
  </si>
  <si>
    <t>Крыша кабины и каркас</t>
  </si>
  <si>
    <t>2.10.1.4.2.20</t>
  </si>
  <si>
    <t>Привод дверей кабины</t>
  </si>
  <si>
    <t>1 привод</t>
  </si>
  <si>
    <t>2.10.1.4.2.22</t>
  </si>
  <si>
    <t>Канаты тяговые или ограничители скорости</t>
  </si>
  <si>
    <t>2.10.1.4.2.23</t>
  </si>
  <si>
    <t>Смазывающее устройство</t>
  </si>
  <si>
    <t>смазывающий аппарат</t>
  </si>
  <si>
    <t>2.10.1.4.2.24</t>
  </si>
  <si>
    <t>Датчики селекции или точной остановки</t>
  </si>
  <si>
    <t>1 датчик</t>
  </si>
  <si>
    <t>2.10.1.4.2.25</t>
  </si>
  <si>
    <t>Вызывные аппараты</t>
  </si>
  <si>
    <t>1 аппарат</t>
  </si>
  <si>
    <t>2.10.1.4.2.26</t>
  </si>
  <si>
    <t>Очистка приямка</t>
  </si>
  <si>
    <t>приямок</t>
  </si>
  <si>
    <t>2.10.1.4.2.27</t>
  </si>
  <si>
    <t>Натяжное устройство</t>
  </si>
  <si>
    <t>2.10.1.4.2.29</t>
  </si>
  <si>
    <t>Ограничитель скорости (ОС)</t>
  </si>
  <si>
    <t>ОС</t>
  </si>
  <si>
    <t>2.10.1.4.2.30</t>
  </si>
  <si>
    <t>Проверка исправности работы ограничителя скорости (ОС)</t>
  </si>
  <si>
    <t>2.10.1.4.2.31</t>
  </si>
  <si>
    <t>Электропроводка в машинном помещении</t>
  </si>
  <si>
    <t>машинное помещение</t>
  </si>
  <si>
    <t>2.10.1.4.2.32</t>
  </si>
  <si>
    <t>Электропроводка в шахте лифта</t>
  </si>
  <si>
    <t>шахта</t>
  </si>
  <si>
    <t>2.10.1.4.3.1</t>
  </si>
  <si>
    <t>Электродвигатель главного привода</t>
  </si>
  <si>
    <t>1 электродвигатель</t>
  </si>
  <si>
    <t>2.10.1.4.3.2</t>
  </si>
  <si>
    <t>Редуктор главного привода</t>
  </si>
  <si>
    <t>1 редуктор</t>
  </si>
  <si>
    <t>2.10.1.4.3.3</t>
  </si>
  <si>
    <t>Отводные блоки</t>
  </si>
  <si>
    <t>1 блок</t>
  </si>
  <si>
    <t>2.10.1.4.3.5</t>
  </si>
  <si>
    <t>Трансформаторы</t>
  </si>
  <si>
    <t>1 трансформатор</t>
  </si>
  <si>
    <t>2.10.1.4.3.6</t>
  </si>
  <si>
    <t>Электропроводка в клеммной коробке кабины</t>
  </si>
  <si>
    <t>10 клемм</t>
  </si>
  <si>
    <t>2.10.1.4.3.7</t>
  </si>
  <si>
    <t>Электроаппараты на крыше кабины (КЛ, СПК, ДУСК, ДТО и др.)</t>
  </si>
  <si>
    <t>электроаппарат</t>
  </si>
  <si>
    <t>2.10.1.4.3.9</t>
  </si>
  <si>
    <t>Подвеска противовеса</t>
  </si>
  <si>
    <t>1 противовес</t>
  </si>
  <si>
    <t>2.10.1.4.3.10</t>
  </si>
  <si>
    <t>Каркас противовеса</t>
  </si>
  <si>
    <t>2.10.1.5</t>
  </si>
  <si>
    <t>Периодическое освидетельствование</t>
  </si>
  <si>
    <t>2.10.1.6.2.37</t>
  </si>
  <si>
    <t>Ремонт смазывающих аппаратов противовеса или кабины</t>
  </si>
  <si>
    <t>1 смазывающий аппарат</t>
  </si>
  <si>
    <t>2.10.1.7</t>
  </si>
  <si>
    <t>Аварийное обслуживание лифтов</t>
  </si>
  <si>
    <t>1 лифт в год</t>
  </si>
  <si>
    <t>3.1</t>
  </si>
  <si>
    <t>Работы по санитарному содержанию помещений общего пользования, системы мусороудаления и фасадов</t>
  </si>
  <si>
    <t>3.1.1.3.1.1</t>
  </si>
  <si>
    <t>Подметание лестничных площадок и маршей нижних трех этажей с предварительным их увлажнением (в доме с лифтами без мусоропроводов)</t>
  </si>
  <si>
    <t>100 м2  убираемой  площади</t>
  </si>
  <si>
    <t>3.1.1.3.1.2</t>
  </si>
  <si>
    <t>Подметание лестничных площадок и маршей выше третьего этажа с предварительным их увлажнением  (в доме с лифтами без мусоропроводов)</t>
  </si>
  <si>
    <t>100 м2 убираемой  площади</t>
  </si>
  <si>
    <t>3.1.1.3.2.1</t>
  </si>
  <si>
    <t>Мытье  лестничных площадок и маршей нижних трех этажей  (в доме с лифтами без мусоропроводов)</t>
  </si>
  <si>
    <t>3.1.1.3.2.2</t>
  </si>
  <si>
    <t>Мытье  лестничных площадок и маршей  выше третьего этажа  (в доме с лифтами без мусоропроводов)</t>
  </si>
  <si>
    <t>3.1.1.3.2.3</t>
  </si>
  <si>
    <t>Мытье  лифтов  (в доме с лифтами без мусоропроводов)</t>
  </si>
  <si>
    <t>100 м2  лифтов</t>
  </si>
  <si>
    <t>3.1.3.1</t>
  </si>
  <si>
    <t>Протирка пыли  с колпаков  светильников (в подвалах, на чердаках и лестничных клетках)</t>
  </si>
  <si>
    <t>3.1.3.2</t>
  </si>
  <si>
    <t>Протирка пыли  с подоконников в помещениях общего  пользования</t>
  </si>
  <si>
    <t xml:space="preserve">100 м2 подоконников </t>
  </si>
  <si>
    <t>3.1.4.1</t>
  </si>
  <si>
    <t>Мытье и протирка дверей  в помещениях общего пользования</t>
  </si>
  <si>
    <t>100 м2 дверей</t>
  </si>
  <si>
    <t>3.1.4.3</t>
  </si>
  <si>
    <t>Мытье и протирка легкодоступных стекол в окнах  в помещениях общего пользования</t>
  </si>
  <si>
    <t>100 м2 окон</t>
  </si>
  <si>
    <t>3.1.5.2.1</t>
  </si>
  <si>
    <t>Уборка мусора и транспортировкой мусора до 50 м</t>
  </si>
  <si>
    <t>1 м3  мусора</t>
  </si>
  <si>
    <t>3.1.9.5</t>
  </si>
  <si>
    <t>Влажная протирка шкафов для электросчетчиков слаботочных устройств  (с моющим средством)</t>
  </si>
  <si>
    <t>100 кв. м шкафов для электросчетчиков слаботочных устройств</t>
  </si>
  <si>
    <t>3.1.9.7</t>
  </si>
  <si>
    <t>Влажная протирка перил лестниц (с моющим средством)</t>
  </si>
  <si>
    <t>100 кв.м. перил лестниц</t>
  </si>
  <si>
    <t>3.1.11</t>
  </si>
  <si>
    <t>Обметание пыли с потолков</t>
  </si>
  <si>
    <t>100 кв. м. потолков</t>
  </si>
  <si>
    <t>3.2</t>
  </si>
  <si>
    <t>Уборка земельного участка, входящего в состав общего имущества многоквартирного дома</t>
  </si>
  <si>
    <t>3.2.1.2</t>
  </si>
  <si>
    <t>Подметание в летний период  земельного участка с усовершенствованным покрытием 2 класса</t>
  </si>
  <si>
    <t>1 000 кв.м. территории</t>
  </si>
  <si>
    <t>3.2.3.1.1</t>
  </si>
  <si>
    <t>Уборка газонов средней засоренности от листьев, сучьев, мусора</t>
  </si>
  <si>
    <t>100 000 кв.м. территории</t>
  </si>
  <si>
    <t>3.2.3.1.3</t>
  </si>
  <si>
    <t>Уборка газонов от случайного мусора</t>
  </si>
  <si>
    <t>100 000 м2</t>
  </si>
  <si>
    <t>3.2.3.1.5</t>
  </si>
  <si>
    <t>Стрижка газонов</t>
  </si>
  <si>
    <t>на 100 кв.м.</t>
  </si>
  <si>
    <t>3.2.3.2.10</t>
  </si>
  <si>
    <t>Очистка опрокидывающихся урн от мусора</t>
  </si>
  <si>
    <t>на 100 урн</t>
  </si>
  <si>
    <t>3.2.5.4</t>
  </si>
  <si>
    <t>Заполнение песочницы песком</t>
  </si>
  <si>
    <t>песочница</t>
  </si>
  <si>
    <t>3.2.6.2</t>
  </si>
  <si>
    <t>Сдвижка и подметание снега при отсутствии снегопада на придомовой территории с усовершенствованным покрытием 2 класса</t>
  </si>
  <si>
    <t>10 000 кв.м. территории</t>
  </si>
  <si>
    <t>3.2.7.2</t>
  </si>
  <si>
    <t>Сдвижка и подметание снега при снегопаде на придомовой территории с усовершенствованным покрытием 2 класса</t>
  </si>
  <si>
    <t>3.2.8.2</t>
  </si>
  <si>
    <t>Очистка территории с усовершенствованным покрытием 2 класса от наледи без обработки противогололедными реагентами</t>
  </si>
  <si>
    <t>3.2.9.2</t>
  </si>
  <si>
    <t>Очистка кровли от снега, сбивание сосулек (при толщине слоя до 20 см)</t>
  </si>
  <si>
    <t>100 кв.м. кровли</t>
  </si>
  <si>
    <t>3.2.9.4</t>
  </si>
  <si>
    <t>Очистка кровли от мусора, листьев</t>
  </si>
  <si>
    <t>100 кв.м кровли</t>
  </si>
  <si>
    <t>3.2.9.5</t>
  </si>
  <si>
    <t>Сдвигание снега и скола, сброшенного с крыш</t>
  </si>
  <si>
    <t>1 куб.м.</t>
  </si>
  <si>
    <t>3.2.10.4</t>
  </si>
  <si>
    <t>Сдвигание свежевыпавшего снега толщиной слоя свыше 2 см в валы или кучи трактором</t>
  </si>
  <si>
    <t>1000 м2</t>
  </si>
  <si>
    <t>3.2.11</t>
  </si>
  <si>
    <t>Уборка крыльца и площадки перед входом в подъезд (в холодный период года)</t>
  </si>
  <si>
    <t>3.2.12</t>
  </si>
  <si>
    <t>Уборка крыльца и площадки перед входом в подъезд (в теплый период года)</t>
  </si>
  <si>
    <t>3.2.14</t>
  </si>
  <si>
    <t>Очистка контейнерной площадки в холодный период</t>
  </si>
  <si>
    <t>3.2.15</t>
  </si>
  <si>
    <t>Уборка мусора на  контейнерных  площадках</t>
  </si>
  <si>
    <t>3.4</t>
  </si>
  <si>
    <t>Прочие работы</t>
  </si>
  <si>
    <t>3.4.1.3</t>
  </si>
  <si>
    <t>Дератизация чердаков и подвалов с применением готовой приманки типа "Шторм" -  антикоагулянта II поколения</t>
  </si>
  <si>
    <t>1000 м2  обрабатываемых  помещений</t>
  </si>
  <si>
    <t>3.4.2</t>
  </si>
  <si>
    <t>Дезинсекция  подвалов</t>
  </si>
  <si>
    <t>ИТОГО:</t>
  </si>
  <si>
    <t xml:space="preserve">1.7 МКД квартирного типа с лифтом, без мусоропровода, с газоснабжением, с уборкой МОП и придомовой территории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</si>
</sst>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.00"/>
  </numFmts>
  <fonts count="10" x14ac:knownFonts="1">
    <font>
      <sz val="11"/>
      <color theme="1"/>
      <name val="Calibri"/>
      <family val="2"/>
      <scheme val="minor"/>
    </font>
    <font>
      <sz val="9"/>
      <name val="Calibri"/>
    </font>
    <font>
      <sz val="10"/>
      <name val="Calibri"/>
    </font>
    <font>
      <sz val="12"/>
      <name val="Calibri"/>
    </font>
    <font>
      <b/>
      <sz val="9"/>
      <color rgb="FFFFFFFF"/>
      <name val="Calibri"/>
    </font>
    <font>
      <b/>
      <sz val="18"/>
      <color rgb="FF000099"/>
      <name val="Calibri"/>
    </font>
    <font>
      <i/>
      <sz val="11"/>
      <name val="Calibri"/>
    </font>
    <font>
      <b/>
      <sz val="11"/>
      <name val="Calibri"/>
    </font>
    <font>
      <b/>
      <sz val="11"/>
      <color rgb="FFFFFFFF"/>
      <name val="Calibri"/>
    </font>
    <font>
      <b/>
      <sz val="10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546E7A"/>
      </patternFill>
    </fill>
    <fill>
      <patternFill patternType="solid">
        <fgColor rgb="FFDCE6F1"/>
      </patternFill>
    </fill>
    <fill>
      <patternFill patternType="solid">
        <fgColor rgb="FFF9F7ED"/>
      </patternFill>
    </fill>
    <fill>
      <patternFill patternType="solid">
        <fgColor rgb="FFF5F2E0"/>
      </patternFill>
    </fill>
    <fill>
      <patternFill patternType="solid">
        <fgColor rgb="FFEBF1DE"/>
      </patternFill>
    </fill>
  </fills>
  <borders count="12">
    <border>
      <left/>
      <right/>
      <top/>
      <bottom/>
      <diagonal/>
    </border>
    <border>
      <left style="thick">
        <color rgb="FF000000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top" wrapText="1" indent="1"/>
    </xf>
    <xf numFmtId="49" fontId="2" fillId="0" borderId="0" xfId="0" applyNumberFormat="1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indent="1"/>
    </xf>
    <xf numFmtId="164" fontId="2" fillId="0" borderId="0" xfId="0" applyNumberFormat="1" applyFont="1" applyAlignment="1">
      <alignment horizontal="right" vertical="top" indent="1"/>
    </xf>
    <xf numFmtId="2" fontId="2" fillId="0" borderId="0" xfId="0" applyNumberFormat="1" applyFont="1" applyAlignment="1">
      <alignment horizontal="right" vertical="top" indent="1"/>
    </xf>
    <xf numFmtId="0" fontId="4" fillId="0" borderId="0" xfId="0" applyFont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49" fontId="4" fillId="2" borderId="2" xfId="0" applyNumberFormat="1" applyFont="1" applyFill="1" applyBorder="1" applyAlignment="1">
      <alignment horizontal="center" vertical="center" wrapText="1" indent="1"/>
    </xf>
    <xf numFmtId="0" fontId="4" fillId="2" borderId="2" xfId="0" applyFont="1" applyFill="1" applyBorder="1" applyAlignment="1">
      <alignment horizontal="center" vertical="center" wrapText="1" indent="1"/>
    </xf>
    <xf numFmtId="164" fontId="4" fillId="2" borderId="2" xfId="0" applyNumberFormat="1" applyFont="1" applyFill="1" applyBorder="1" applyAlignment="1">
      <alignment horizontal="center" vertical="center" wrapText="1" indent="1"/>
    </xf>
    <xf numFmtId="2" fontId="4" fillId="2" borderId="3" xfId="0" applyNumberFormat="1" applyFont="1" applyFill="1" applyBorder="1" applyAlignment="1">
      <alignment horizontal="center" vertical="center" wrapText="1" indent="1"/>
    </xf>
    <xf numFmtId="0" fontId="6" fillId="0" borderId="6" xfId="0" applyFont="1" applyBorder="1" applyAlignment="1">
      <alignment horizontal="left" indent="1"/>
    </xf>
    <xf numFmtId="2" fontId="6" fillId="0" borderId="8" xfId="0" applyNumberFormat="1" applyFont="1" applyBorder="1" applyAlignment="1">
      <alignment horizontal="left" indent="1"/>
    </xf>
    <xf numFmtId="0" fontId="7" fillId="0" borderId="0" xfId="0" applyFont="1"/>
    <xf numFmtId="0" fontId="7" fillId="3" borderId="9" xfId="0" applyFont="1" applyFill="1" applyBorder="1" applyAlignment="1">
      <alignment horizontal="center" vertical="top" wrapText="1" indent="1"/>
    </xf>
    <xf numFmtId="49" fontId="7" fillId="3" borderId="10" xfId="0" applyNumberFormat="1" applyFont="1" applyFill="1" applyBorder="1" applyAlignment="1">
      <alignment horizontal="left" vertical="top" wrapText="1" indent="1"/>
    </xf>
    <xf numFmtId="0" fontId="1" fillId="0" borderId="9" xfId="0" applyFont="1" applyBorder="1" applyAlignment="1">
      <alignment horizontal="center" vertical="top" wrapText="1" indent="1"/>
    </xf>
    <xf numFmtId="49" fontId="2" fillId="0" borderId="10" xfId="0" applyNumberFormat="1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vertical="top" wrapText="1"/>
    </xf>
    <xf numFmtId="0" fontId="3" fillId="4" borderId="10" xfId="0" applyFont="1" applyFill="1" applyBorder="1" applyAlignment="1">
      <alignment horizontal="right" vertical="top" indent="1"/>
    </xf>
    <xf numFmtId="0" fontId="3" fillId="5" borderId="10" xfId="0" applyFont="1" applyFill="1" applyBorder="1" applyAlignment="1">
      <alignment horizontal="right" vertical="top" indent="1"/>
    </xf>
    <xf numFmtId="164" fontId="2" fillId="0" borderId="10" xfId="0" applyNumberFormat="1" applyFont="1" applyBorder="1" applyAlignment="1">
      <alignment horizontal="right" vertical="top" indent="1"/>
    </xf>
    <xf numFmtId="164" fontId="2" fillId="6" borderId="10" xfId="0" applyNumberFormat="1" applyFont="1" applyFill="1" applyBorder="1" applyAlignment="1">
      <alignment horizontal="right" vertical="top" indent="1"/>
    </xf>
    <xf numFmtId="2" fontId="2" fillId="0" borderId="11" xfId="0" applyNumberFormat="1" applyFont="1" applyBorder="1" applyAlignment="1">
      <alignment horizontal="right" vertical="top" indent="1"/>
    </xf>
    <xf numFmtId="0" fontId="8" fillId="0" borderId="0" xfId="0" applyFont="1" applyAlignment="1">
      <alignment horizontal="right" vertical="center" wrapText="1" indent="1"/>
    </xf>
    <xf numFmtId="164" fontId="8" fillId="2" borderId="2" xfId="0" applyNumberFormat="1" applyFont="1" applyFill="1" applyBorder="1" applyAlignment="1">
      <alignment horizontal="right" vertical="center" wrapText="1" indent="1"/>
    </xf>
    <xf numFmtId="2" fontId="8" fillId="2" borderId="3" xfId="0" applyNumberFormat="1" applyFont="1" applyFill="1" applyBorder="1" applyAlignment="1">
      <alignment horizontal="right" vertical="center" wrapText="1" indent="1"/>
    </xf>
    <xf numFmtId="0" fontId="5" fillId="0" borderId="4" xfId="0" applyFont="1" applyBorder="1" applyAlignment="1">
      <alignment horizontal="left" vertical="center" indent="1"/>
    </xf>
    <xf numFmtId="164" fontId="6" fillId="0" borderId="5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right" indent="1"/>
    </xf>
    <xf numFmtId="0" fontId="7" fillId="3" borderId="1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righ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9"/>
  <sheetViews>
    <sheetView tabSelected="1" workbookViewId="0">
      <pane ySplit="1" topLeftCell="A2" activePane="bottomLeft" state="frozen"/>
      <selection pane="bottomLeft" activeCell="G7" sqref="G7"/>
    </sheetView>
  </sheetViews>
  <sheetFormatPr defaultRowHeight="15.6" x14ac:dyDescent="0.3"/>
  <cols>
    <col min="1" max="1" width="3" customWidth="1"/>
    <col min="2" max="2" width="6" style="1" customWidth="1"/>
    <col min="3" max="3" width="13" style="2" customWidth="1"/>
    <col min="4" max="4" width="50" style="3" customWidth="1"/>
    <col min="5" max="5" width="20" style="3" customWidth="1"/>
    <col min="6" max="7" width="12" style="4" customWidth="1"/>
    <col min="8" max="9" width="14" style="5" customWidth="1"/>
    <col min="10" max="10" width="13" style="5" customWidth="1"/>
    <col min="11" max="13" width="14" style="5" customWidth="1"/>
    <col min="14" max="14" width="16" style="5" customWidth="1"/>
    <col min="15" max="15" width="12" style="6" customWidth="1"/>
  </cols>
  <sheetData>
    <row r="1" spans="1:15" s="7" customFormat="1" ht="40.049999999999997" customHeight="1" x14ac:dyDescent="0.3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2" t="s">
        <v>14</v>
      </c>
    </row>
    <row r="2" spans="1:15" ht="14.4" x14ac:dyDescent="0.3">
      <c r="A2" t="s">
        <v>0</v>
      </c>
      <c r="B2" s="29" t="s">
        <v>481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30" t="s">
        <v>15</v>
      </c>
      <c r="N2" s="30"/>
      <c r="O2" s="13" t="s">
        <v>16</v>
      </c>
    </row>
    <row r="3" spans="1:15" ht="14.4" x14ac:dyDescent="0.3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1" t="s">
        <v>17</v>
      </c>
      <c r="N3" s="31"/>
      <c r="O3" s="14">
        <v>9445.7000000000007</v>
      </c>
    </row>
    <row r="4" spans="1:15" s="15" customFormat="1" ht="14.4" x14ac:dyDescent="0.3">
      <c r="B4" s="16"/>
      <c r="C4" s="17" t="s">
        <v>18</v>
      </c>
      <c r="D4" s="32" t="s">
        <v>19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x14ac:dyDescent="0.3">
      <c r="B5" s="18">
        <v>1</v>
      </c>
      <c r="C5" s="19" t="s">
        <v>20</v>
      </c>
      <c r="D5" s="20" t="s">
        <v>21</v>
      </c>
      <c r="E5" s="20" t="s">
        <v>22</v>
      </c>
      <c r="F5" s="21">
        <v>1</v>
      </c>
      <c r="G5" s="22">
        <v>1</v>
      </c>
      <c r="H5" s="23">
        <f>F5 * G5 * 1491.126</f>
        <v>1491.126</v>
      </c>
      <c r="I5" s="23">
        <f>F5 * G5 * 0</f>
        <v>0</v>
      </c>
      <c r="J5" s="23">
        <f>F5 * G5 * 19.067664</f>
        <v>19.067664000000001</v>
      </c>
      <c r="K5" s="23">
        <f>F5 * G5 * 1419.850177</f>
        <v>1419.850177</v>
      </c>
      <c r="L5" s="23">
        <f>F5 * G5 * 340.582384</f>
        <v>340.58238399999999</v>
      </c>
      <c r="M5" s="23">
        <f>F5 * G5 * 298.2252</f>
        <v>298.22519999999997</v>
      </c>
      <c r="N5" s="24">
        <f t="shared" ref="N5:N12" si="0">SUM(H5:M5)</f>
        <v>3568.8514249999994</v>
      </c>
      <c r="O5" s="25">
        <f>IF(O3&gt;0,N5/O3/12,0)</f>
        <v>3.1485679771395089E-2</v>
      </c>
    </row>
    <row r="6" spans="1:15" ht="27.6" x14ac:dyDescent="0.3">
      <c r="B6" s="18">
        <v>2</v>
      </c>
      <c r="C6" s="19" t="s">
        <v>23</v>
      </c>
      <c r="D6" s="20" t="s">
        <v>24</v>
      </c>
      <c r="E6" s="20" t="s">
        <v>25</v>
      </c>
      <c r="F6" s="21">
        <v>2</v>
      </c>
      <c r="G6" s="22">
        <v>1</v>
      </c>
      <c r="H6" s="23">
        <f>F6 * G6 * 1749.520111</f>
        <v>3499.0402220000001</v>
      </c>
      <c r="I6" s="23">
        <f>F6 * G6 * 3444.421459</f>
        <v>6888.8429180000003</v>
      </c>
      <c r="J6" s="23">
        <f>F6 * G6 * 33.78584</f>
        <v>67.571680000000001</v>
      </c>
      <c r="K6" s="23">
        <f>F6 * G6 * 1665.89305</f>
        <v>3331.7860999999998</v>
      </c>
      <c r="L6" s="23">
        <f>F6 * G6 * 764.191832</f>
        <v>1528.383664</v>
      </c>
      <c r="M6" s="23">
        <f>F6 * G6 * 349.904022</f>
        <v>699.808044</v>
      </c>
      <c r="N6" s="24">
        <f t="shared" si="0"/>
        <v>16015.432627999997</v>
      </c>
      <c r="O6" s="25">
        <f>IF(O3&gt;0,N6/O3/12,0)</f>
        <v>0.14129385706370798</v>
      </c>
    </row>
    <row r="7" spans="1:15" ht="41.4" x14ac:dyDescent="0.3">
      <c r="B7" s="18">
        <v>3</v>
      </c>
      <c r="C7" s="19" t="s">
        <v>26</v>
      </c>
      <c r="D7" s="20" t="s">
        <v>27</v>
      </c>
      <c r="E7" s="20" t="s">
        <v>28</v>
      </c>
      <c r="F7" s="21">
        <v>0.1</v>
      </c>
      <c r="G7" s="22">
        <v>2</v>
      </c>
      <c r="H7" s="23">
        <f>F7 * G7 * 3046.1574</f>
        <v>609.23148000000003</v>
      </c>
      <c r="I7" s="23">
        <f>F7 * G7 * 7773.148729</f>
        <v>1554.6297457999999</v>
      </c>
      <c r="J7" s="23">
        <f t="shared" ref="J7:J12" si="1">F7 * G7 * 0</f>
        <v>0</v>
      </c>
      <c r="K7" s="23">
        <f>F7 * G7 * 2900.551076</f>
        <v>580.11021520000008</v>
      </c>
      <c r="L7" s="23">
        <f>F7 * G7 * 1511.718856</f>
        <v>302.34377119999999</v>
      </c>
      <c r="M7" s="23">
        <f>F7 * G7 * 609.23148</f>
        <v>121.84629600000001</v>
      </c>
      <c r="N7" s="24">
        <f t="shared" si="0"/>
        <v>3168.1615081999998</v>
      </c>
      <c r="O7" s="25">
        <f>IF(O3&gt;0,N7/O3/12,0)</f>
        <v>2.7950650456468728E-2</v>
      </c>
    </row>
    <row r="8" spans="1:15" x14ac:dyDescent="0.3">
      <c r="B8" s="18">
        <v>4</v>
      </c>
      <c r="C8" s="19" t="s">
        <v>29</v>
      </c>
      <c r="D8" s="20" t="s">
        <v>30</v>
      </c>
      <c r="E8" s="20" t="s">
        <v>31</v>
      </c>
      <c r="F8" s="21">
        <v>0.15</v>
      </c>
      <c r="G8" s="22">
        <v>1</v>
      </c>
      <c r="H8" s="23">
        <f>F8 * G8 * 1966.15614</f>
        <v>294.92342100000002</v>
      </c>
      <c r="I8" s="23">
        <f>F8 * G8 * 4071.14</f>
        <v>610.67099999999994</v>
      </c>
      <c r="J8" s="23">
        <f t="shared" si="1"/>
        <v>0</v>
      </c>
      <c r="K8" s="23">
        <f>F8 * G8 * 1872.173877</f>
        <v>280.82608154999997</v>
      </c>
      <c r="L8" s="23">
        <f>F8 * G8 * 875.934981</f>
        <v>131.39024714999999</v>
      </c>
      <c r="M8" s="23">
        <f>F8 * G8 * 393.231228</f>
        <v>58.984684199999997</v>
      </c>
      <c r="N8" s="24">
        <f t="shared" si="0"/>
        <v>1376.7954339</v>
      </c>
      <c r="O8" s="25">
        <f>IF(O3&gt;0,N8/O3/12,0)</f>
        <v>1.2146580224334881E-2</v>
      </c>
    </row>
    <row r="9" spans="1:15" x14ac:dyDescent="0.3">
      <c r="B9" s="18">
        <v>5</v>
      </c>
      <c r="C9" s="19" t="s">
        <v>32</v>
      </c>
      <c r="D9" s="20" t="s">
        <v>33</v>
      </c>
      <c r="E9" s="20" t="s">
        <v>31</v>
      </c>
      <c r="F9" s="21">
        <v>0.03</v>
      </c>
      <c r="G9" s="22">
        <v>0.2</v>
      </c>
      <c r="H9" s="23">
        <f>F9 * G9 * 7108.2468</f>
        <v>42.649480799999999</v>
      </c>
      <c r="I9" s="23">
        <f>F9 * G9 * 6220.356</f>
        <v>37.322136</v>
      </c>
      <c r="J9" s="23">
        <f t="shared" si="1"/>
        <v>0</v>
      </c>
      <c r="K9" s="23">
        <f>F9 * G9 * 6768.472603</f>
        <v>40.610835618000003</v>
      </c>
      <c r="L9" s="23">
        <f>F9 * G9 * 2270.225463</f>
        <v>13.621352778000002</v>
      </c>
      <c r="M9" s="23">
        <f>F9 * G9 * 1421.64936</f>
        <v>8.5298961599999998</v>
      </c>
      <c r="N9" s="24">
        <f t="shared" si="0"/>
        <v>142.73370135600001</v>
      </c>
      <c r="O9" s="25">
        <f>IF(O3&gt;0,N9/O3/12,0)</f>
        <v>1.2592476061064823E-3</v>
      </c>
    </row>
    <row r="10" spans="1:15" ht="27.6" x14ac:dyDescent="0.3">
      <c r="B10" s="18">
        <v>6</v>
      </c>
      <c r="C10" s="19" t="s">
        <v>34</v>
      </c>
      <c r="D10" s="20" t="s">
        <v>35</v>
      </c>
      <c r="E10" s="20" t="s">
        <v>36</v>
      </c>
      <c r="F10" s="21">
        <v>0.2</v>
      </c>
      <c r="G10" s="22">
        <v>0.2</v>
      </c>
      <c r="H10" s="23">
        <f>F10 * G10 * 12791.091846</f>
        <v>511.64367384000008</v>
      </c>
      <c r="I10" s="23">
        <f>F10 * G10 * 106309.405092</f>
        <v>4252.3762036800008</v>
      </c>
      <c r="J10" s="23">
        <f t="shared" si="1"/>
        <v>0</v>
      </c>
      <c r="K10" s="23">
        <f>F10 * G10 * 12179.677656</f>
        <v>487.18710624000011</v>
      </c>
      <c r="L10" s="23">
        <f>F10 * G10 * 14119.950458</f>
        <v>564.7980183200001</v>
      </c>
      <c r="M10" s="23">
        <f>F10 * G10 * 2558.218369</f>
        <v>102.32873476000003</v>
      </c>
      <c r="N10" s="24">
        <f t="shared" si="0"/>
        <v>5918.3337368400007</v>
      </c>
      <c r="O10" s="25">
        <f>IF(O3&gt;0,N10/O3/12,0)</f>
        <v>5.2213650451528211E-2</v>
      </c>
    </row>
    <row r="11" spans="1:15" x14ac:dyDescent="0.3">
      <c r="B11" s="18">
        <v>7</v>
      </c>
      <c r="C11" s="19" t="s">
        <v>37</v>
      </c>
      <c r="D11" s="20" t="s">
        <v>38</v>
      </c>
      <c r="E11" s="20" t="s">
        <v>39</v>
      </c>
      <c r="F11" s="21">
        <v>1.2</v>
      </c>
      <c r="G11" s="22">
        <v>0.2</v>
      </c>
      <c r="H11" s="23">
        <f>F11 * G11 * 9202.86918</f>
        <v>2208.6886031999998</v>
      </c>
      <c r="I11" s="23">
        <f>F11 * G11 * 56577.405091</f>
        <v>13578.57722184</v>
      </c>
      <c r="J11" s="23">
        <f t="shared" si="1"/>
        <v>0</v>
      </c>
      <c r="K11" s="23">
        <f>F11 * G11 * 8762.972033</f>
        <v>2103.1132879199999</v>
      </c>
      <c r="L11" s="23">
        <f>F11 * G11 * 8058.493025</f>
        <v>1934.0383259999999</v>
      </c>
      <c r="M11" s="23">
        <f>F11 * G11 * 1840.573836</f>
        <v>441.73772063999996</v>
      </c>
      <c r="N11" s="24">
        <f t="shared" si="0"/>
        <v>20266.155159600003</v>
      </c>
      <c r="O11" s="25">
        <f>IF(O3&gt;0,N11/O3/12,0)</f>
        <v>0.17879524686365225</v>
      </c>
    </row>
    <row r="12" spans="1:15" ht="41.4" x14ac:dyDescent="0.3">
      <c r="B12" s="18">
        <v>8</v>
      </c>
      <c r="C12" s="19" t="s">
        <v>40</v>
      </c>
      <c r="D12" s="20" t="s">
        <v>41</v>
      </c>
      <c r="E12" s="20" t="s">
        <v>31</v>
      </c>
      <c r="F12" s="21">
        <v>0.09</v>
      </c>
      <c r="G12" s="22">
        <v>0.1</v>
      </c>
      <c r="H12" s="23">
        <f>F12 * G12 * 17847.71313</f>
        <v>160.62941816999998</v>
      </c>
      <c r="I12" s="23">
        <f>F12 * G12 * 17083.49702</f>
        <v>153.75147317999998</v>
      </c>
      <c r="J12" s="23">
        <f t="shared" si="1"/>
        <v>0</v>
      </c>
      <c r="K12" s="23">
        <f>F12 * G12 * 16994.592443</f>
        <v>152.951331987</v>
      </c>
      <c r="L12" s="23">
        <f>F12 * G12 * 5854.75892</f>
        <v>52.692830279999995</v>
      </c>
      <c r="M12" s="23">
        <f>F12 * G12 * 3569.542626</f>
        <v>32.125883633999997</v>
      </c>
      <c r="N12" s="24">
        <f t="shared" si="0"/>
        <v>552.15093725099996</v>
      </c>
      <c r="O12" s="25">
        <f>IF(O3&gt;0,N12/O3/12,0)</f>
        <v>4.8712724418783137E-3</v>
      </c>
    </row>
    <row r="13" spans="1:15" s="15" customFormat="1" ht="14.4" x14ac:dyDescent="0.3">
      <c r="B13" s="16"/>
      <c r="C13" s="17" t="s">
        <v>42</v>
      </c>
      <c r="D13" s="32" t="s">
        <v>43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 ht="27.6" x14ac:dyDescent="0.3">
      <c r="B14" s="18">
        <v>9</v>
      </c>
      <c r="C14" s="19" t="s">
        <v>44</v>
      </c>
      <c r="D14" s="20" t="s">
        <v>45</v>
      </c>
      <c r="E14" s="20" t="s">
        <v>46</v>
      </c>
      <c r="F14" s="21">
        <v>0.3</v>
      </c>
      <c r="G14" s="22">
        <v>1</v>
      </c>
      <c r="H14" s="23">
        <f>F14 * G14 * 2708.85159</f>
        <v>812.65547700000002</v>
      </c>
      <c r="I14" s="23">
        <f>F14 * G14 * 1942.130804</f>
        <v>582.6392411999999</v>
      </c>
      <c r="J14" s="23">
        <f>F14 * G14 * 0</f>
        <v>0</v>
      </c>
      <c r="K14" s="23">
        <f>F14 * G14 * 2579.368484</f>
        <v>773.81054519999998</v>
      </c>
      <c r="L14" s="23">
        <f>F14 * G14 * 819.958785999999</f>
        <v>245.98763579999968</v>
      </c>
      <c r="M14" s="23">
        <f>F14 * G14 * 541.770318</f>
        <v>162.5310954</v>
      </c>
      <c r="N14" s="24">
        <f t="shared" ref="N14:N22" si="2">SUM(H14:M14)</f>
        <v>2577.6239945999996</v>
      </c>
      <c r="O14" s="25">
        <f>IF(O3&gt;0,N14/O3/12,0)</f>
        <v>2.2740717951025332E-2</v>
      </c>
    </row>
    <row r="15" spans="1:15" ht="27.6" x14ac:dyDescent="0.3">
      <c r="B15" s="18">
        <v>10</v>
      </c>
      <c r="C15" s="19" t="s">
        <v>47</v>
      </c>
      <c r="D15" s="20" t="s">
        <v>48</v>
      </c>
      <c r="E15" s="20" t="s">
        <v>46</v>
      </c>
      <c r="F15" s="21">
        <v>1</v>
      </c>
      <c r="G15" s="22">
        <v>1</v>
      </c>
      <c r="H15" s="23">
        <f>F15 * G15 * 1314.9765</f>
        <v>1314.9765</v>
      </c>
      <c r="I15" s="23">
        <f>F15 * G15 * 1942.130804</f>
        <v>1942.1308039999999</v>
      </c>
      <c r="J15" s="23">
        <f>F15 * G15 * 0</f>
        <v>0</v>
      </c>
      <c r="K15" s="23">
        <f>F15 * G15 * 1252.120623</f>
        <v>1252.120623</v>
      </c>
      <c r="L15" s="23">
        <f>F15 * G15 * 503.469549999999</f>
        <v>503.469549999999</v>
      </c>
      <c r="M15" s="23">
        <f>F15 * G15 * 262.9953</f>
        <v>262.99529999999999</v>
      </c>
      <c r="N15" s="24">
        <f t="shared" si="2"/>
        <v>5275.6927769999984</v>
      </c>
      <c r="O15" s="25">
        <f>IF(O3&gt;0,N15/O3/12,0)</f>
        <v>4.6544042765491157E-2</v>
      </c>
    </row>
    <row r="16" spans="1:15" ht="27.6" x14ac:dyDescent="0.3">
      <c r="B16" s="18">
        <v>11</v>
      </c>
      <c r="C16" s="19" t="s">
        <v>49</v>
      </c>
      <c r="D16" s="20" t="s">
        <v>50</v>
      </c>
      <c r="E16" s="20" t="s">
        <v>51</v>
      </c>
      <c r="F16" s="21">
        <v>0.15</v>
      </c>
      <c r="G16" s="22">
        <v>1</v>
      </c>
      <c r="H16" s="23">
        <f>F16 * G16 * 2645.68356</f>
        <v>396.85253399999999</v>
      </c>
      <c r="I16" s="23">
        <f>F16 * G16 * 465.887298</f>
        <v>69.883094700000001</v>
      </c>
      <c r="J16" s="23">
        <f>F16 * G16 * 939.56544</f>
        <v>140.93481599999998</v>
      </c>
      <c r="K16" s="23">
        <f>F16 * G16 * 2519.219886</f>
        <v>377.88298289999994</v>
      </c>
      <c r="L16" s="23">
        <f>F16 * G16 * 748.9965</f>
        <v>112.349475</v>
      </c>
      <c r="M16" s="23">
        <f>F16 * G16 * 529.136712</f>
        <v>79.370506800000001</v>
      </c>
      <c r="N16" s="24">
        <f t="shared" si="2"/>
        <v>1177.2734093999998</v>
      </c>
      <c r="O16" s="25">
        <f>IF(O3&gt;0,N16/O3/12,0)</f>
        <v>1.0386325783160589E-2</v>
      </c>
    </row>
    <row r="17" spans="2:15" ht="27.6" x14ac:dyDescent="0.3">
      <c r="B17" s="18">
        <v>12</v>
      </c>
      <c r="C17" s="19" t="s">
        <v>52</v>
      </c>
      <c r="D17" s="20" t="s">
        <v>53</v>
      </c>
      <c r="E17" s="20" t="s">
        <v>54</v>
      </c>
      <c r="F17" s="21">
        <v>1</v>
      </c>
      <c r="G17" s="22">
        <v>1</v>
      </c>
      <c r="H17" s="23">
        <f>F17 * G17 * 13675.7556</f>
        <v>13675.7556</v>
      </c>
      <c r="I17" s="23">
        <f>F17 * G17 * 5624.704171</f>
        <v>5624.7041710000003</v>
      </c>
      <c r="J17" s="23">
        <f t="shared" ref="J17:J22" si="3">F17 * G17 * 0</f>
        <v>0</v>
      </c>
      <c r="K17" s="23">
        <f>F17 * G17 * 13022.054482</f>
        <v>13022.054482</v>
      </c>
      <c r="L17" s="23">
        <f>F17 * G17 * 3698.583697</f>
        <v>3698.583697</v>
      </c>
      <c r="M17" s="23">
        <f>F17 * G17 * 2735.15112</f>
        <v>2735.15112</v>
      </c>
      <c r="N17" s="24">
        <f t="shared" si="2"/>
        <v>38756.249070000005</v>
      </c>
      <c r="O17" s="25">
        <f>IF(O3&gt;0,N17/O3/12,0)</f>
        <v>0.34192144811925007</v>
      </c>
    </row>
    <row r="18" spans="2:15" ht="41.4" x14ac:dyDescent="0.3">
      <c r="B18" s="18">
        <v>13</v>
      </c>
      <c r="C18" s="19" t="s">
        <v>55</v>
      </c>
      <c r="D18" s="20" t="s">
        <v>56</v>
      </c>
      <c r="E18" s="20" t="s">
        <v>57</v>
      </c>
      <c r="F18" s="21">
        <v>53.82</v>
      </c>
      <c r="G18" s="22">
        <v>0.2</v>
      </c>
      <c r="H18" s="23">
        <f>F18 * G18 * 8303.638272</f>
        <v>89380.362359808016</v>
      </c>
      <c r="I18" s="23">
        <f>F18 * G18 * 11358.829364</f>
        <v>122266.439274096</v>
      </c>
      <c r="J18" s="23">
        <f t="shared" si="3"/>
        <v>0</v>
      </c>
      <c r="K18" s="23">
        <f>F18 * G18 * 7906.72436299999</f>
        <v>85107.981043331907</v>
      </c>
      <c r="L18" s="23">
        <f>F18 * G18 * 3083.756523</f>
        <v>33193.555213572006</v>
      </c>
      <c r="M18" s="23">
        <f>F18 * G18 * 1660.727654</f>
        <v>17876.072467656002</v>
      </c>
      <c r="N18" s="24">
        <f t="shared" si="2"/>
        <v>347824.41035846388</v>
      </c>
      <c r="O18" s="25">
        <f>IF(O3&gt;0,N18/O3/12,0)</f>
        <v>3.0686309675166465</v>
      </c>
    </row>
    <row r="19" spans="2:15" ht="27.6" x14ac:dyDescent="0.3">
      <c r="B19" s="18">
        <v>14</v>
      </c>
      <c r="C19" s="19" t="s">
        <v>58</v>
      </c>
      <c r="D19" s="20" t="s">
        <v>59</v>
      </c>
      <c r="E19" s="20" t="s">
        <v>60</v>
      </c>
      <c r="F19" s="21">
        <v>0.16</v>
      </c>
      <c r="G19" s="22">
        <v>1</v>
      </c>
      <c r="H19" s="23">
        <f>F19 * G19 * 52599.06</f>
        <v>8415.8495999999996</v>
      </c>
      <c r="I19" s="23">
        <f>F19 * G19 * 22740.767469</f>
        <v>3638.5227950399999</v>
      </c>
      <c r="J19" s="23">
        <f t="shared" si="3"/>
        <v>0</v>
      </c>
      <c r="K19" s="23">
        <f>F19 * G19 * 50084.824932</f>
        <v>8013.5719891200006</v>
      </c>
      <c r="L19" s="23">
        <f>F19 * G19 * 14342.140994</f>
        <v>2294.7425590399998</v>
      </c>
      <c r="M19" s="23">
        <f>F19 * G19 * 10519.812</f>
        <v>1683.16992</v>
      </c>
      <c r="N19" s="24">
        <f t="shared" si="2"/>
        <v>24045.856863200002</v>
      </c>
      <c r="O19" s="25">
        <f>IF(O3&gt;0,N19/O3/12,0)</f>
        <v>0.21214112297306356</v>
      </c>
    </row>
    <row r="20" spans="2:15" x14ac:dyDescent="0.3">
      <c r="B20" s="18">
        <v>15</v>
      </c>
      <c r="C20" s="19" t="s">
        <v>61</v>
      </c>
      <c r="D20" s="20" t="s">
        <v>62</v>
      </c>
      <c r="E20" s="20" t="s">
        <v>63</v>
      </c>
      <c r="F20" s="21">
        <v>0.16</v>
      </c>
      <c r="G20" s="22">
        <v>1</v>
      </c>
      <c r="H20" s="23">
        <f>F20 * G20 * 7839.0624</f>
        <v>1254.249984</v>
      </c>
      <c r="I20" s="23">
        <f>F20 * G20 * 139.200915</f>
        <v>22.2721464</v>
      </c>
      <c r="J20" s="23">
        <f t="shared" si="3"/>
        <v>0</v>
      </c>
      <c r="K20" s="23">
        <f>F20 * G20 * 7464.355217</f>
        <v>1194.2968347200001</v>
      </c>
      <c r="L20" s="23">
        <f>F20 * G20 * 1794.600472</f>
        <v>287.13607552000002</v>
      </c>
      <c r="M20" s="23">
        <f>F20 * G20 * 1567.81248</f>
        <v>250.84999680000001</v>
      </c>
      <c r="N20" s="24">
        <f t="shared" si="2"/>
        <v>3008.80503744</v>
      </c>
      <c r="O20" s="25">
        <f>IF(O3&gt;0,N20/O3/12,0)</f>
        <v>2.6544750851710302E-2</v>
      </c>
    </row>
    <row r="21" spans="2:15" ht="55.2" x14ac:dyDescent="0.3">
      <c r="B21" s="18">
        <v>16</v>
      </c>
      <c r="C21" s="19" t="s">
        <v>64</v>
      </c>
      <c r="D21" s="20" t="s">
        <v>65</v>
      </c>
      <c r="E21" s="20" t="s">
        <v>57</v>
      </c>
      <c r="F21" s="21">
        <v>0.16</v>
      </c>
      <c r="G21" s="22">
        <v>1</v>
      </c>
      <c r="H21" s="23">
        <f>F21 * G21 * 9476.24665</f>
        <v>1516.1994639999998</v>
      </c>
      <c r="I21" s="23">
        <f>F21 * G21 * 11493.579755</f>
        <v>1838.9727608000001</v>
      </c>
      <c r="J21" s="23">
        <f t="shared" si="3"/>
        <v>0</v>
      </c>
      <c r="K21" s="23">
        <f>F21 * G21 * 9023.282061</f>
        <v>1443.7251297600001</v>
      </c>
      <c r="L21" s="23">
        <f>F21 * G21 * 3364.221747</f>
        <v>538.27547951999998</v>
      </c>
      <c r="M21" s="23">
        <f>F21 * G21 * 1895.24933</f>
        <v>303.23989280000001</v>
      </c>
      <c r="N21" s="24">
        <f t="shared" si="2"/>
        <v>5640.4127268800003</v>
      </c>
      <c r="O21" s="25">
        <f>IF(O3&gt;0,N21/O3/12,0)</f>
        <v>4.9761732206894844E-2</v>
      </c>
    </row>
    <row r="22" spans="2:15" x14ac:dyDescent="0.3">
      <c r="B22" s="18">
        <v>17</v>
      </c>
      <c r="C22" s="19" t="s">
        <v>66</v>
      </c>
      <c r="D22" s="20" t="s">
        <v>67</v>
      </c>
      <c r="E22" s="20" t="s">
        <v>68</v>
      </c>
      <c r="F22" s="21">
        <v>0.1</v>
      </c>
      <c r="G22" s="22">
        <v>1</v>
      </c>
      <c r="H22" s="23">
        <f>F22 * G22 * 5144.3847</f>
        <v>514.43846999999994</v>
      </c>
      <c r="I22" s="23">
        <f>F22 * G22 * 139.200915</f>
        <v>13.920091500000002</v>
      </c>
      <c r="J22" s="23">
        <f t="shared" si="3"/>
        <v>0</v>
      </c>
      <c r="K22" s="23">
        <f>F22 * G22 * 4898.483111</f>
        <v>489.84831109999999</v>
      </c>
      <c r="L22" s="23">
        <f>F22 * G22 * 1182.754767</f>
        <v>118.2754767</v>
      </c>
      <c r="M22" s="23">
        <f>F22 * G22 * 1028.87694</f>
        <v>102.88769400000001</v>
      </c>
      <c r="N22" s="24">
        <f t="shared" si="2"/>
        <v>1239.3700432999999</v>
      </c>
      <c r="O22" s="25">
        <f>IF(O3&gt;0,N22/O3/12,0)</f>
        <v>1.0934164428434806E-2</v>
      </c>
    </row>
    <row r="23" spans="2:15" s="15" customFormat="1" ht="14.4" x14ac:dyDescent="0.3">
      <c r="B23" s="16"/>
      <c r="C23" s="17" t="s">
        <v>69</v>
      </c>
      <c r="D23" s="32" t="s">
        <v>70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  <row r="24" spans="2:15" x14ac:dyDescent="0.3">
      <c r="B24" s="18">
        <v>18</v>
      </c>
      <c r="C24" s="19" t="s">
        <v>71</v>
      </c>
      <c r="D24" s="20" t="s">
        <v>72</v>
      </c>
      <c r="E24" s="20" t="s">
        <v>73</v>
      </c>
      <c r="F24" s="21">
        <v>0.02</v>
      </c>
      <c r="G24" s="22">
        <v>1</v>
      </c>
      <c r="H24" s="23">
        <f>F24 * G24 * 324000.378</f>
        <v>6480.0075600000009</v>
      </c>
      <c r="I24" s="23">
        <f>F24 * G24 * 66792.360001</f>
        <v>1335.8472000199999</v>
      </c>
      <c r="J24" s="23">
        <f>F24 * G24 * 0</f>
        <v>0</v>
      </c>
      <c r="K24" s="23">
        <f>F24 * G24 * 308513.159932</f>
        <v>6170.2631986400002</v>
      </c>
      <c r="L24" s="23">
        <f>F24 * G24 * 80613.1802079999</f>
        <v>1612.2636041599981</v>
      </c>
      <c r="M24" s="23">
        <f>F24 * G24 * 64800.0756</f>
        <v>1296.001512</v>
      </c>
      <c r="N24" s="24">
        <f>SUM(H24:M24)</f>
        <v>16894.383074819998</v>
      </c>
      <c r="O24" s="25">
        <f>IF(O3&gt;0,N24/O3/12,0)</f>
        <v>0.14904827130175632</v>
      </c>
    </row>
    <row r="25" spans="2:15" s="15" customFormat="1" ht="14.4" x14ac:dyDescent="0.3">
      <c r="B25" s="16"/>
      <c r="C25" s="17" t="s">
        <v>74</v>
      </c>
      <c r="D25" s="32" t="s">
        <v>75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pans="2:15" x14ac:dyDescent="0.3">
      <c r="B26" s="18">
        <v>19</v>
      </c>
      <c r="C26" s="19" t="s">
        <v>76</v>
      </c>
      <c r="D26" s="20" t="s">
        <v>77</v>
      </c>
      <c r="E26" s="20" t="s">
        <v>78</v>
      </c>
      <c r="F26" s="21">
        <v>0.1</v>
      </c>
      <c r="G26" s="22">
        <v>1</v>
      </c>
      <c r="H26" s="23">
        <f>F26 * G26 * 5475.095145</f>
        <v>547.50951450000002</v>
      </c>
      <c r="I26" s="23">
        <f>F26 * G26 * 52241.43154</f>
        <v>5224.1431540000003</v>
      </c>
      <c r="J26" s="23">
        <f>F26 * G26 * 139.50288</f>
        <v>13.950288</v>
      </c>
      <c r="K26" s="23">
        <f>F26 * G26 * 5265.96462</f>
        <v>526.59646199999997</v>
      </c>
      <c r="L26" s="23">
        <f>F26 * G26 * 6776.060004</f>
        <v>677.60600040000008</v>
      </c>
      <c r="M26" s="23">
        <f>F26 * G26 * 1106.062722</f>
        <v>110.60627219999999</v>
      </c>
      <c r="N26" s="24">
        <f>SUM(H26:M26)</f>
        <v>7100.4116911000001</v>
      </c>
      <c r="O26" s="25">
        <f>IF(O3&gt;0,N26/O3/12,0)</f>
        <v>6.2642363642539278E-2</v>
      </c>
    </row>
    <row r="27" spans="2:15" ht="27.6" x14ac:dyDescent="0.3">
      <c r="B27" s="18">
        <v>20</v>
      </c>
      <c r="C27" s="19" t="s">
        <v>79</v>
      </c>
      <c r="D27" s="20" t="s">
        <v>80</v>
      </c>
      <c r="E27" s="20" t="s">
        <v>81</v>
      </c>
      <c r="F27" s="21">
        <v>0.03</v>
      </c>
      <c r="G27" s="22">
        <v>1</v>
      </c>
      <c r="H27" s="23">
        <f>F27 * G27 * 10543.538928</f>
        <v>316.30616784</v>
      </c>
      <c r="I27" s="23">
        <f>F27 * G27 * 101408.72186</f>
        <v>3042.2616558</v>
      </c>
      <c r="J27" s="23">
        <f>F27 * G27 * 265.656336</f>
        <v>7.9696900800000003</v>
      </c>
      <c r="K27" s="23">
        <f>F27 * G27 * 10134.200007</f>
        <v>304.02600020999995</v>
      </c>
      <c r="L27" s="23">
        <f>F27 * G27 * 13132.714226</f>
        <v>393.98142677999999</v>
      </c>
      <c r="M27" s="23">
        <f>F27 * G27 * 2128.586433</f>
        <v>63.857592989999993</v>
      </c>
      <c r="N27" s="24">
        <f>SUM(H27:M27)</f>
        <v>4128.4025336999994</v>
      </c>
      <c r="O27" s="25">
        <f>IF(O3&gt;0,N27/O3/12,0)</f>
        <v>3.642223916438167E-2</v>
      </c>
    </row>
    <row r="28" spans="2:15" ht="27.6" x14ac:dyDescent="0.3">
      <c r="B28" s="18">
        <v>21</v>
      </c>
      <c r="C28" s="19" t="s">
        <v>82</v>
      </c>
      <c r="D28" s="20" t="s">
        <v>83</v>
      </c>
      <c r="E28" s="20" t="s">
        <v>54</v>
      </c>
      <c r="F28" s="21">
        <v>0.16</v>
      </c>
      <c r="G28" s="22">
        <v>0.2</v>
      </c>
      <c r="H28" s="23">
        <f>F28 * G28 * 4732.512758</f>
        <v>151.44040825600001</v>
      </c>
      <c r="I28" s="23">
        <f>F28 * G28 * 1838.677544</f>
        <v>58.837681407999995</v>
      </c>
      <c r="J28" s="23">
        <f>F28 * G28 * 0.7744</f>
        <v>2.4780799999999999E-2</v>
      </c>
      <c r="K28" s="23">
        <f>F28 * G28 * 4506.298648</f>
        <v>144.20155673600001</v>
      </c>
      <c r="L28" s="23">
        <f>F28 * G28 * 1268.612803</f>
        <v>40.595609696000004</v>
      </c>
      <c r="M28" s="23">
        <f>F28 * G28 * 946.502552</f>
        <v>30.288081664000003</v>
      </c>
      <c r="N28" s="24">
        <f>SUM(H28:M28)</f>
        <v>425.38811856000001</v>
      </c>
      <c r="O28" s="25">
        <f>IF(O3&gt;0,N28/O3/12,0)</f>
        <v>3.7529256571773397E-3</v>
      </c>
    </row>
    <row r="29" spans="2:15" x14ac:dyDescent="0.3">
      <c r="B29" s="18">
        <v>22</v>
      </c>
      <c r="C29" s="19" t="s">
        <v>84</v>
      </c>
      <c r="D29" s="20" t="s">
        <v>85</v>
      </c>
      <c r="E29" s="20" t="s">
        <v>86</v>
      </c>
      <c r="F29" s="21">
        <v>0.1</v>
      </c>
      <c r="G29" s="22">
        <v>0.5</v>
      </c>
      <c r="H29" s="23">
        <f>F29 * G29 * 22091.6052</f>
        <v>1104.5802600000002</v>
      </c>
      <c r="I29" s="23">
        <f>F29 * G29 * 2518.786259</f>
        <v>125.93931295</v>
      </c>
      <c r="J29" s="23">
        <f>F29 * G29 * 0</f>
        <v>0</v>
      </c>
      <c r="K29" s="23">
        <f>F29 * G29 * 21035.626471</f>
        <v>1051.78132355</v>
      </c>
      <c r="L29" s="23">
        <f>F29 * G29 * 5281.787762</f>
        <v>264.08938810000001</v>
      </c>
      <c r="M29" s="23">
        <f>F29 * G29 * 4418.32104</f>
        <v>220.91605200000001</v>
      </c>
      <c r="N29" s="24">
        <f>SUM(H29:M29)</f>
        <v>2767.3063366000001</v>
      </c>
      <c r="O29" s="25">
        <f>IF(O3&gt;0,N29/O3/12,0)</f>
        <v>2.4414163204773954E-2</v>
      </c>
    </row>
    <row r="30" spans="2:15" s="15" customFormat="1" ht="14.4" x14ac:dyDescent="0.3">
      <c r="B30" s="16"/>
      <c r="C30" s="17" t="s">
        <v>87</v>
      </c>
      <c r="D30" s="32" t="s">
        <v>88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2:15" ht="41.4" x14ac:dyDescent="0.3">
      <c r="B31" s="18">
        <v>23</v>
      </c>
      <c r="C31" s="19" t="s">
        <v>89</v>
      </c>
      <c r="D31" s="20" t="s">
        <v>90</v>
      </c>
      <c r="E31" s="20" t="s">
        <v>91</v>
      </c>
      <c r="F31" s="21">
        <v>0.02</v>
      </c>
      <c r="G31" s="22">
        <v>1</v>
      </c>
      <c r="H31" s="23">
        <f>F31 * G31 * 20492.3316</f>
        <v>409.84663200000006</v>
      </c>
      <c r="I31" s="23">
        <f>F31 * G31 * 11424.129299</f>
        <v>228.48258598000001</v>
      </c>
      <c r="J31" s="23">
        <f t="shared" ref="J31:J37" si="4">F31 * G31 * 0</f>
        <v>0</v>
      </c>
      <c r="K31" s="23">
        <f>F31 * G31 * 19512.79815</f>
        <v>390.25596300000001</v>
      </c>
      <c r="L31" s="23">
        <f>F31 * G31 * 5858.175027</f>
        <v>117.16350054</v>
      </c>
      <c r="M31" s="23">
        <f>F31 * G31 * 4098.46632</f>
        <v>81.969326400000014</v>
      </c>
      <c r="N31" s="24">
        <f t="shared" ref="N31:N40" si="5">SUM(H31:M31)</f>
        <v>1227.7180079200002</v>
      </c>
      <c r="O31" s="25">
        <f>IF(O3&gt;0,N31/O3/12,0)</f>
        <v>1.0831366017694119E-2</v>
      </c>
    </row>
    <row r="32" spans="2:15" ht="27.6" x14ac:dyDescent="0.3">
      <c r="B32" s="18">
        <v>24</v>
      </c>
      <c r="C32" s="19" t="s">
        <v>92</v>
      </c>
      <c r="D32" s="20" t="s">
        <v>93</v>
      </c>
      <c r="E32" s="20" t="s">
        <v>94</v>
      </c>
      <c r="F32" s="21">
        <v>0.2</v>
      </c>
      <c r="G32" s="22">
        <v>1</v>
      </c>
      <c r="H32" s="23">
        <f>F32 * G32 * 1690.05204</f>
        <v>338.01040800000004</v>
      </c>
      <c r="I32" s="23">
        <f>F32 * G32 * 278.320088</f>
        <v>55.664017600000001</v>
      </c>
      <c r="J32" s="23">
        <f t="shared" si="4"/>
        <v>0</v>
      </c>
      <c r="K32" s="23">
        <f>F32 * G32 * 1609.267552</f>
        <v>321.8535104</v>
      </c>
      <c r="L32" s="23">
        <f>F32 * G32 * 413.101084</f>
        <v>82.620216800000009</v>
      </c>
      <c r="M32" s="23">
        <f>F32 * G32 * 338.010408</f>
        <v>67.602081600000005</v>
      </c>
      <c r="N32" s="24">
        <f t="shared" si="5"/>
        <v>865.75023440000007</v>
      </c>
      <c r="O32" s="25">
        <f>IF(O3&gt;0,N32/O3/12,0)</f>
        <v>7.6379572574469508E-3</v>
      </c>
    </row>
    <row r="33" spans="2:15" ht="27.6" x14ac:dyDescent="0.3">
      <c r="B33" s="18">
        <v>25</v>
      </c>
      <c r="C33" s="19" t="s">
        <v>95</v>
      </c>
      <c r="D33" s="20" t="s">
        <v>96</v>
      </c>
      <c r="E33" s="20" t="s">
        <v>97</v>
      </c>
      <c r="F33" s="21">
        <v>3</v>
      </c>
      <c r="G33" s="22">
        <v>1</v>
      </c>
      <c r="H33" s="23">
        <f>F33 * G33 * 49.846212</f>
        <v>149.538636</v>
      </c>
      <c r="I33" s="23">
        <f>F33 * G33 * 54.67171</f>
        <v>164.01513</v>
      </c>
      <c r="J33" s="23">
        <f t="shared" si="4"/>
        <v>0</v>
      </c>
      <c r="K33" s="23">
        <f>F33 * G33 * 47.463563</f>
        <v>142.39068900000001</v>
      </c>
      <c r="L33" s="23">
        <f>F33 * G33 * 17.085802</f>
        <v>51.257406000000003</v>
      </c>
      <c r="M33" s="23">
        <f>F33 * G33 * 9.969242</f>
        <v>29.907725999999997</v>
      </c>
      <c r="N33" s="24">
        <f t="shared" si="5"/>
        <v>537.10958700000003</v>
      </c>
      <c r="O33" s="25">
        <f>IF(O3&gt;0,N33/O3/12,0)</f>
        <v>4.7385722868606879E-3</v>
      </c>
    </row>
    <row r="34" spans="2:15" x14ac:dyDescent="0.3">
      <c r="B34" s="18">
        <v>26</v>
      </c>
      <c r="C34" s="19" t="s">
        <v>98</v>
      </c>
      <c r="D34" s="20" t="s">
        <v>99</v>
      </c>
      <c r="E34" s="20" t="s">
        <v>97</v>
      </c>
      <c r="F34" s="21">
        <v>6</v>
      </c>
      <c r="G34" s="22">
        <v>1</v>
      </c>
      <c r="H34" s="23">
        <f>F34 * G34 * 16.615404</f>
        <v>99.692424000000017</v>
      </c>
      <c r="I34" s="23">
        <f>F34 * G34 * 0.9775</f>
        <v>5.8650000000000002</v>
      </c>
      <c r="J34" s="23">
        <f t="shared" si="4"/>
        <v>0</v>
      </c>
      <c r="K34" s="23">
        <f>F34 * G34 * 15.821188</f>
        <v>94.927127999999996</v>
      </c>
      <c r="L34" s="23">
        <f>F34 * G34 * 3.875772</f>
        <v>23.254632000000001</v>
      </c>
      <c r="M34" s="23">
        <f>F34 * G34 * 3.323081</f>
        <v>19.938486000000001</v>
      </c>
      <c r="N34" s="24">
        <f t="shared" si="5"/>
        <v>243.67767000000003</v>
      </c>
      <c r="O34" s="25">
        <f>IF(O3&gt;0,N34/O3/12,0)</f>
        <v>2.1498112897932395E-3</v>
      </c>
    </row>
    <row r="35" spans="2:15" x14ac:dyDescent="0.3">
      <c r="B35" s="18">
        <v>27</v>
      </c>
      <c r="C35" s="19" t="s">
        <v>100</v>
      </c>
      <c r="D35" s="20" t="s">
        <v>101</v>
      </c>
      <c r="E35" s="20" t="s">
        <v>102</v>
      </c>
      <c r="F35" s="21"/>
      <c r="G35" s="22">
        <v>1</v>
      </c>
      <c r="H35" s="23">
        <f>F35 * G35 * 147.097122</f>
        <v>0</v>
      </c>
      <c r="I35" s="23">
        <f>F35 * G35 * 71.566806</f>
        <v>0</v>
      </c>
      <c r="J35" s="23">
        <f t="shared" si="4"/>
        <v>0</v>
      </c>
      <c r="K35" s="23">
        <f>F35 * G35 * 140.065879</f>
        <v>0</v>
      </c>
      <c r="L35" s="23">
        <f>F35 * G35 * 40.9497439999999</f>
        <v>0</v>
      </c>
      <c r="M35" s="23">
        <f>F35 * G35 * 29.419424</f>
        <v>0</v>
      </c>
      <c r="N35" s="24">
        <f t="shared" si="5"/>
        <v>0</v>
      </c>
      <c r="O35" s="25">
        <f>IF(O3&gt;0,N35/O3/12,0)</f>
        <v>0</v>
      </c>
    </row>
    <row r="36" spans="2:15" x14ac:dyDescent="0.3">
      <c r="B36" s="18">
        <v>28</v>
      </c>
      <c r="C36" s="19" t="s">
        <v>103</v>
      </c>
      <c r="D36" s="20" t="s">
        <v>104</v>
      </c>
      <c r="E36" s="20" t="s">
        <v>105</v>
      </c>
      <c r="F36" s="21"/>
      <c r="G36" s="22">
        <v>1</v>
      </c>
      <c r="H36" s="23">
        <f>F36 * G36 * 41.53851</f>
        <v>0</v>
      </c>
      <c r="I36" s="23">
        <f>F36 * G36 * 86.865212</f>
        <v>0</v>
      </c>
      <c r="J36" s="23">
        <f t="shared" si="4"/>
        <v>0</v>
      </c>
      <c r="K36" s="23">
        <f>F36 * G36 * 39.55297</f>
        <v>0</v>
      </c>
      <c r="L36" s="23">
        <f>F36 * G36 * 18.595894</f>
        <v>0</v>
      </c>
      <c r="M36" s="23">
        <f>F36 * G36 * 8.307702</f>
        <v>0</v>
      </c>
      <c r="N36" s="24">
        <f t="shared" si="5"/>
        <v>0</v>
      </c>
      <c r="O36" s="25">
        <f>IF(O3&gt;0,N36/O3/12,0)</f>
        <v>0</v>
      </c>
    </row>
    <row r="37" spans="2:15" x14ac:dyDescent="0.3">
      <c r="B37" s="18">
        <v>29</v>
      </c>
      <c r="C37" s="19" t="s">
        <v>106</v>
      </c>
      <c r="D37" s="20" t="s">
        <v>107</v>
      </c>
      <c r="E37" s="20" t="s">
        <v>73</v>
      </c>
      <c r="F37" s="21"/>
      <c r="G37" s="22">
        <v>0.2</v>
      </c>
      <c r="H37" s="23">
        <f>F37 * G37 * 18409.671</f>
        <v>0</v>
      </c>
      <c r="I37" s="23">
        <f>F37 * G37 * 3090.784109</f>
        <v>0</v>
      </c>
      <c r="J37" s="23">
        <f t="shared" si="4"/>
        <v>0</v>
      </c>
      <c r="K37" s="23">
        <f>F37 * G37 * 17529.688726</f>
        <v>0</v>
      </c>
      <c r="L37" s="23">
        <f>F37 * G37 * 4506.124233</f>
        <v>0</v>
      </c>
      <c r="M37" s="23">
        <f>F37 * G37 * 3681.9342</f>
        <v>0</v>
      </c>
      <c r="N37" s="24">
        <f t="shared" si="5"/>
        <v>0</v>
      </c>
      <c r="O37" s="25">
        <f>IF(O3&gt;0,N37/O3/12,0)</f>
        <v>0</v>
      </c>
    </row>
    <row r="38" spans="2:15" x14ac:dyDescent="0.3">
      <c r="B38" s="18">
        <v>30</v>
      </c>
      <c r="C38" s="19" t="s">
        <v>108</v>
      </c>
      <c r="D38" s="20" t="s">
        <v>109</v>
      </c>
      <c r="E38" s="20" t="s">
        <v>110</v>
      </c>
      <c r="F38" s="21">
        <v>1</v>
      </c>
      <c r="G38" s="22">
        <v>1</v>
      </c>
      <c r="H38" s="23">
        <f>F38 * G38 * 356.493816</f>
        <v>356.49381599999998</v>
      </c>
      <c r="I38" s="23">
        <f>F38 * G38 * 2400.6963</f>
        <v>2400.6963000000001</v>
      </c>
      <c r="J38" s="23">
        <f>F38 * G38 * 7.467328</f>
        <v>7.4673280000000002</v>
      </c>
      <c r="K38" s="23">
        <f>F38 * G38 * 339.453411</f>
        <v>339.45341100000002</v>
      </c>
      <c r="L38" s="23">
        <f>F38 * G38 * 335.005715</f>
        <v>335.00571500000001</v>
      </c>
      <c r="M38" s="23">
        <f>F38 * G38 * 71.298763</f>
        <v>71.298762999999994</v>
      </c>
      <c r="N38" s="24">
        <f t="shared" si="5"/>
        <v>3510.4153329999999</v>
      </c>
      <c r="O38" s="25">
        <f>IF(O3&gt;0,N38/O3/12,0)</f>
        <v>3.0970135731955631E-2</v>
      </c>
    </row>
    <row r="39" spans="2:15" x14ac:dyDescent="0.3">
      <c r="B39" s="18">
        <v>31</v>
      </c>
      <c r="C39" s="19" t="s">
        <v>111</v>
      </c>
      <c r="D39" s="20" t="s">
        <v>112</v>
      </c>
      <c r="E39" s="20" t="s">
        <v>113</v>
      </c>
      <c r="F39" s="21">
        <v>1</v>
      </c>
      <c r="G39" s="22">
        <v>1</v>
      </c>
      <c r="H39" s="23">
        <f>F39 * G39 * 86.714712</f>
        <v>86.714712000000006</v>
      </c>
      <c r="I39" s="23">
        <f>F39 * G39 * 1780.0216</f>
        <v>1780.0216</v>
      </c>
      <c r="J39" s="23">
        <f>F39 * G39 * 1.3464</f>
        <v>1.3464</v>
      </c>
      <c r="K39" s="23">
        <f>F39 * G39 * 82.569749</f>
        <v>82.569749000000002</v>
      </c>
      <c r="L39" s="23">
        <f>F39 * G39 * 207.623515</f>
        <v>207.623515</v>
      </c>
      <c r="M39" s="23">
        <f>F39 * G39 * 17.342942</f>
        <v>17.342942000000001</v>
      </c>
      <c r="N39" s="24">
        <f t="shared" si="5"/>
        <v>2175.6189180000001</v>
      </c>
      <c r="O39" s="25">
        <f>IF(O3&gt;0,N39/O3/12,0)</f>
        <v>1.919408582741353E-2</v>
      </c>
    </row>
    <row r="40" spans="2:15" ht="27.6" x14ac:dyDescent="0.3">
      <c r="B40" s="18">
        <v>32</v>
      </c>
      <c r="C40" s="19" t="s">
        <v>114</v>
      </c>
      <c r="D40" s="20" t="s">
        <v>115</v>
      </c>
      <c r="E40" s="20" t="s">
        <v>116</v>
      </c>
      <c r="F40" s="21">
        <v>5</v>
      </c>
      <c r="G40" s="22">
        <v>0.5</v>
      </c>
      <c r="H40" s="23">
        <f>F40 * G40 * 651.40249</f>
        <v>1628.5062249999999</v>
      </c>
      <c r="I40" s="23">
        <f>F40 * G40 * 1675.782218</f>
        <v>4189.4555449999998</v>
      </c>
      <c r="J40" s="23">
        <f>F40 * G40 * 0</f>
        <v>0</v>
      </c>
      <c r="K40" s="23">
        <f>F40 * G40 * 620.26545</f>
        <v>1550.6636249999999</v>
      </c>
      <c r="L40" s="23">
        <f>F40 * G40 * 324.700584</f>
        <v>811.75145999999995</v>
      </c>
      <c r="M40" s="23">
        <f>F40 * G40 * 130.280498</f>
        <v>325.70124499999997</v>
      </c>
      <c r="N40" s="24">
        <f t="shared" si="5"/>
        <v>8506.0781000000006</v>
      </c>
      <c r="O40" s="25">
        <f>IF(O3&gt;0,N40/O3/12,0)</f>
        <v>7.5043653902481203E-2</v>
      </c>
    </row>
    <row r="41" spans="2:15" s="15" customFormat="1" ht="14.4" x14ac:dyDescent="0.3">
      <c r="B41" s="16"/>
      <c r="C41" s="17" t="s">
        <v>117</v>
      </c>
      <c r="D41" s="32" t="s">
        <v>118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  <row r="42" spans="2:15" ht="27.6" x14ac:dyDescent="0.3">
      <c r="B42" s="18">
        <v>33</v>
      </c>
      <c r="C42" s="19" t="s">
        <v>119</v>
      </c>
      <c r="D42" s="20" t="s">
        <v>120</v>
      </c>
      <c r="E42" s="20" t="s">
        <v>121</v>
      </c>
      <c r="F42" s="21">
        <v>0.02</v>
      </c>
      <c r="G42" s="22">
        <v>1</v>
      </c>
      <c r="H42" s="23">
        <f>F42 * G42 * 6092.3148</f>
        <v>121.84629600000001</v>
      </c>
      <c r="I42" s="23">
        <f>F42 * G42 * 3413.249378</f>
        <v>68.264987559999994</v>
      </c>
      <c r="J42" s="23">
        <f>F42 * G42 * 0</f>
        <v>0</v>
      </c>
      <c r="K42" s="23">
        <f>F42 * G42 * 5801.102153</f>
        <v>116.02204306</v>
      </c>
      <c r="L42" s="23">
        <f>F42 * G42 * 1743.40114</f>
        <v>34.868022799999999</v>
      </c>
      <c r="M42" s="23">
        <f>F42 * G42 * 1218.46296</f>
        <v>24.369259200000002</v>
      </c>
      <c r="N42" s="24">
        <f>SUM(H42:M42)</f>
        <v>365.37060861999998</v>
      </c>
      <c r="O42" s="25">
        <f>IF(O3&gt;0,N42/O3/12,0)</f>
        <v>3.2234297848050784E-3</v>
      </c>
    </row>
    <row r="43" spans="2:15" x14ac:dyDescent="0.3">
      <c r="B43" s="18">
        <v>34</v>
      </c>
      <c r="C43" s="19" t="s">
        <v>122</v>
      </c>
      <c r="D43" s="20" t="s">
        <v>123</v>
      </c>
      <c r="E43" s="20" t="s">
        <v>124</v>
      </c>
      <c r="F43" s="21">
        <v>0.03</v>
      </c>
      <c r="G43" s="22">
        <v>1</v>
      </c>
      <c r="H43" s="23">
        <f>F43 * G43 * 14400.0168</f>
        <v>432.00050399999998</v>
      </c>
      <c r="I43" s="23">
        <f>F43 * G43 * 46481.365805</f>
        <v>1394.4409741499999</v>
      </c>
      <c r="J43" s="23">
        <f>F43 * G43 * 0</f>
        <v>0</v>
      </c>
      <c r="K43" s="23">
        <f>F43 * G43 * 13711.695997</f>
        <v>411.35087991</v>
      </c>
      <c r="L43" s="23">
        <f>F43 * G43 * 8173.410147</f>
        <v>245.20230440999998</v>
      </c>
      <c r="M43" s="23">
        <f>F43 * G43 * 2880.00336</f>
        <v>86.400100800000004</v>
      </c>
      <c r="N43" s="24">
        <f>SUM(H43:M43)</f>
        <v>2569.3947632700001</v>
      </c>
      <c r="O43" s="25">
        <f>IF(O3&gt;0,N43/O3/12,0)</f>
        <v>2.2668116738039531E-2</v>
      </c>
    </row>
    <row r="44" spans="2:15" ht="27.6" x14ac:dyDescent="0.3">
      <c r="B44" s="18">
        <v>35</v>
      </c>
      <c r="C44" s="19" t="s">
        <v>125</v>
      </c>
      <c r="D44" s="20" t="s">
        <v>126</v>
      </c>
      <c r="E44" s="20" t="s">
        <v>127</v>
      </c>
      <c r="F44" s="21">
        <v>0.56000000000000005</v>
      </c>
      <c r="G44" s="22">
        <v>0.2</v>
      </c>
      <c r="H44" s="23">
        <f>F44 * G44 * 21634.92738</f>
        <v>2423.1118665600006</v>
      </c>
      <c r="I44" s="23">
        <f>F44 * G44 * 1787.75201</f>
        <v>200.22822512000002</v>
      </c>
      <c r="J44" s="23">
        <f>F44 * G44 * 0</f>
        <v>0</v>
      </c>
      <c r="K44" s="23">
        <f>F44 * G44 * 20600.777851</f>
        <v>2307.2871193120004</v>
      </c>
      <c r="L44" s="23">
        <f>F44 * G44 * 5100.971707</f>
        <v>571.30883118400004</v>
      </c>
      <c r="M44" s="23">
        <f>F44 * G44 * 4326.985476</f>
        <v>484.62237331200004</v>
      </c>
      <c r="N44" s="24">
        <f>SUM(H44:M44)</f>
        <v>5986.5584154880016</v>
      </c>
      <c r="O44" s="25">
        <f>IF(O3&gt;0,N44/O3/12,0)</f>
        <v>5.2815552892568417E-2</v>
      </c>
    </row>
    <row r="45" spans="2:15" x14ac:dyDescent="0.3">
      <c r="B45" s="18">
        <v>36</v>
      </c>
      <c r="C45" s="19" t="s">
        <v>128</v>
      </c>
      <c r="D45" s="20" t="s">
        <v>129</v>
      </c>
      <c r="E45" s="20" t="s">
        <v>130</v>
      </c>
      <c r="F45" s="21">
        <v>0.54</v>
      </c>
      <c r="G45" s="22">
        <v>0.2</v>
      </c>
      <c r="H45" s="23">
        <f>F45 * G45 * 3261.14172</f>
        <v>352.20330576000003</v>
      </c>
      <c r="I45" s="23">
        <f>F45 * G45 * 490.852973</f>
        <v>53.012121084000007</v>
      </c>
      <c r="J45" s="23">
        <f>F45 * G45 * 0</f>
        <v>0</v>
      </c>
      <c r="K45" s="23">
        <f>F45 * G45 * 3105.259146</f>
        <v>335.36798776800003</v>
      </c>
      <c r="L45" s="23">
        <f>F45 * G45 * 792.25037</f>
        <v>85.563039960000012</v>
      </c>
      <c r="M45" s="23">
        <f>F45 * G45 * 652.228344</f>
        <v>70.440661152000004</v>
      </c>
      <c r="N45" s="24">
        <f>SUM(H45:M45)</f>
        <v>896.587115724</v>
      </c>
      <c r="O45" s="25">
        <f>IF(O3&gt;0,N45/O3/12,0)</f>
        <v>7.9100112196025703E-3</v>
      </c>
    </row>
    <row r="46" spans="2:15" s="15" customFormat="1" ht="14.4" x14ac:dyDescent="0.3">
      <c r="B46" s="16"/>
      <c r="C46" s="17" t="s">
        <v>131</v>
      </c>
      <c r="D46" s="32" t="s">
        <v>132</v>
      </c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2:15" ht="41.4" x14ac:dyDescent="0.3">
      <c r="B47" s="18">
        <v>37</v>
      </c>
      <c r="C47" s="19" t="s">
        <v>133</v>
      </c>
      <c r="D47" s="20" t="s">
        <v>134</v>
      </c>
      <c r="E47" s="20" t="s">
        <v>135</v>
      </c>
      <c r="F47" s="21">
        <v>0.3</v>
      </c>
      <c r="G47" s="22">
        <v>1</v>
      </c>
      <c r="H47" s="23">
        <f>F47 * G47 * 29192.4783</f>
        <v>8757.7434899999989</v>
      </c>
      <c r="I47" s="23">
        <f>F47 * G47 * 34558.264002</f>
        <v>10367.479200600001</v>
      </c>
      <c r="J47" s="23">
        <f t="shared" ref="J47:J52" si="6">F47 * G47 * 0</f>
        <v>0</v>
      </c>
      <c r="K47" s="23">
        <f>F47 * G47 * 27797.077837</f>
        <v>8339.1233510999991</v>
      </c>
      <c r="L47" s="23">
        <f>F47 * G47 * 10274.256317</f>
        <v>3082.2768950999998</v>
      </c>
      <c r="M47" s="23">
        <f>F47 * G47 * 5838.49566</f>
        <v>1751.5486979999998</v>
      </c>
      <c r="N47" s="24">
        <f t="shared" ref="N47:N52" si="7">SUM(H47:M47)</f>
        <v>32298.171634799997</v>
      </c>
      <c r="O47" s="25">
        <f>IF(O3&gt;0,N47/O3/12,0)</f>
        <v>0.28494598631123152</v>
      </c>
    </row>
    <row r="48" spans="2:15" ht="27.6" x14ac:dyDescent="0.3">
      <c r="B48" s="18">
        <v>38</v>
      </c>
      <c r="C48" s="19" t="s">
        <v>136</v>
      </c>
      <c r="D48" s="20" t="s">
        <v>137</v>
      </c>
      <c r="E48" s="20" t="s">
        <v>138</v>
      </c>
      <c r="F48" s="21">
        <v>0.03</v>
      </c>
      <c r="G48" s="22">
        <v>1</v>
      </c>
      <c r="H48" s="23">
        <f>F48 * G48 * 28929.483</f>
        <v>867.88449000000003</v>
      </c>
      <c r="I48" s="23">
        <f>F48 * G48 * 1017936.669</f>
        <v>30538.10007</v>
      </c>
      <c r="J48" s="23">
        <f t="shared" si="6"/>
        <v>0</v>
      </c>
      <c r="K48" s="23">
        <f>F48 * G48 * 27546.653713</f>
        <v>826.3996113899999</v>
      </c>
      <c r="L48" s="23">
        <f>F48 * G48 * 113960.963094</f>
        <v>3418.82889282</v>
      </c>
      <c r="M48" s="23">
        <f>F48 * G48 * 5785.8966</f>
        <v>173.576898</v>
      </c>
      <c r="N48" s="24">
        <f t="shared" si="7"/>
        <v>35824.789962210001</v>
      </c>
      <c r="O48" s="25">
        <f>IF(O3&gt;0,N48/O3/12,0)</f>
        <v>0.3160590706371682</v>
      </c>
    </row>
    <row r="49" spans="2:15" ht="27.6" x14ac:dyDescent="0.3">
      <c r="B49" s="18">
        <v>39</v>
      </c>
      <c r="C49" s="19" t="s">
        <v>139</v>
      </c>
      <c r="D49" s="20" t="s">
        <v>140</v>
      </c>
      <c r="E49" s="20" t="s">
        <v>141</v>
      </c>
      <c r="F49" s="21">
        <v>0.45</v>
      </c>
      <c r="G49" s="22">
        <v>1</v>
      </c>
      <c r="H49" s="23">
        <f>F49 * G49 * 80750.86344</f>
        <v>36337.888548000003</v>
      </c>
      <c r="I49" s="23">
        <f>F49 * G49 * 2395.36534</f>
        <v>1077.914403</v>
      </c>
      <c r="J49" s="23">
        <f t="shared" si="6"/>
        <v>0</v>
      </c>
      <c r="K49" s="23">
        <f>F49 * G49 * 76890.972168</f>
        <v>34600.937475599996</v>
      </c>
      <c r="L49" s="23">
        <f>F49 * G49 * 18587.767918</f>
        <v>8364.4955631000012</v>
      </c>
      <c r="M49" s="23">
        <f>F49 * G49 * 16150.172688</f>
        <v>7267.5777096000002</v>
      </c>
      <c r="N49" s="24">
        <f t="shared" si="7"/>
        <v>87648.813699300008</v>
      </c>
      <c r="O49" s="25">
        <f>IF(O3&gt;0,N49/O3/12,0)</f>
        <v>0.77326908628000046</v>
      </c>
    </row>
    <row r="50" spans="2:15" x14ac:dyDescent="0.3">
      <c r="B50" s="18">
        <v>40</v>
      </c>
      <c r="C50" s="19" t="s">
        <v>142</v>
      </c>
      <c r="D50" s="20" t="s">
        <v>143</v>
      </c>
      <c r="E50" s="20" t="s">
        <v>144</v>
      </c>
      <c r="F50" s="21">
        <v>1</v>
      </c>
      <c r="G50" s="22">
        <v>0.2</v>
      </c>
      <c r="H50" s="23">
        <f>F50 * G50 * 791.820678</f>
        <v>158.36413560000003</v>
      </c>
      <c r="I50" s="23">
        <f>F50 * G50 * 119397</f>
        <v>23879.4</v>
      </c>
      <c r="J50" s="23">
        <f t="shared" si="6"/>
        <v>0</v>
      </c>
      <c r="K50" s="23">
        <f>F50 * G50 * 753.97165</f>
        <v>150.79433</v>
      </c>
      <c r="L50" s="23">
        <f>F50 * G50 * 12776.172007</f>
        <v>2555.2344014</v>
      </c>
      <c r="M50" s="23">
        <f>F50 * G50 * 158.364136</f>
        <v>31.6728272</v>
      </c>
      <c r="N50" s="24">
        <f t="shared" si="7"/>
        <v>26775.465694200004</v>
      </c>
      <c r="O50" s="25">
        <f>IF(O3&gt;0,N50/O3/12,0)</f>
        <v>0.23622270534211334</v>
      </c>
    </row>
    <row r="51" spans="2:15" x14ac:dyDescent="0.3">
      <c r="B51" s="18">
        <v>41</v>
      </c>
      <c r="C51" s="19" t="s">
        <v>145</v>
      </c>
      <c r="D51" s="20" t="s">
        <v>146</v>
      </c>
      <c r="E51" s="20" t="s">
        <v>147</v>
      </c>
      <c r="F51" s="21">
        <v>0.3</v>
      </c>
      <c r="G51" s="22">
        <v>1</v>
      </c>
      <c r="H51" s="23">
        <f>F51 * G51 * 12387.816</f>
        <v>3716.3447999999999</v>
      </c>
      <c r="I51" s="23">
        <f>F51 * G51 * 17673.514293</f>
        <v>5302.0542878999995</v>
      </c>
      <c r="J51" s="23">
        <f t="shared" si="6"/>
        <v>0</v>
      </c>
      <c r="K51" s="23">
        <f>F51 * G51 * 11795.6783949999</f>
        <v>3538.70351849997</v>
      </c>
      <c r="L51" s="23">
        <f>F51 * G51 * 4677.297334</f>
        <v>1403.1892002</v>
      </c>
      <c r="M51" s="23">
        <f>F51 * G51 * 2477.5632</f>
        <v>743.26895999999999</v>
      </c>
      <c r="N51" s="24">
        <f t="shared" si="7"/>
        <v>14703.560766599969</v>
      </c>
      <c r="O51" s="25">
        <f>IF(O3&gt;0,N51/O3/12,0)</f>
        <v>0.12972005574494186</v>
      </c>
    </row>
    <row r="52" spans="2:15" ht="27.6" x14ac:dyDescent="0.3">
      <c r="B52" s="18">
        <v>42</v>
      </c>
      <c r="C52" s="19" t="s">
        <v>148</v>
      </c>
      <c r="D52" s="20" t="s">
        <v>149</v>
      </c>
      <c r="E52" s="20" t="s">
        <v>147</v>
      </c>
      <c r="F52" s="21">
        <v>0.1</v>
      </c>
      <c r="G52" s="22">
        <v>1</v>
      </c>
      <c r="H52" s="23">
        <f>F52 * G52 * 32444.28</f>
        <v>3244.4279999999999</v>
      </c>
      <c r="I52" s="23">
        <f>F52 * G52 * 37756.094501</f>
        <v>3775.6094501000002</v>
      </c>
      <c r="J52" s="23">
        <f t="shared" si="6"/>
        <v>0</v>
      </c>
      <c r="K52" s="23">
        <f>F52 * G52 * 30893.443416</f>
        <v>3089.3443416</v>
      </c>
      <c r="L52" s="23">
        <f>F52 * G52 * 11349.972099</f>
        <v>1134.9972099000001</v>
      </c>
      <c r="M52" s="23">
        <f>F52 * G52 * 6488.856</f>
        <v>648.88560000000007</v>
      </c>
      <c r="N52" s="24">
        <f t="shared" si="7"/>
        <v>11893.264601600002</v>
      </c>
      <c r="O52" s="25">
        <f>IF(O3&gt;0,N52/O3/12,0)</f>
        <v>0.10492662094568606</v>
      </c>
    </row>
    <row r="53" spans="2:15" s="15" customFormat="1" ht="14.4" x14ac:dyDescent="0.3">
      <c r="B53" s="16"/>
      <c r="C53" s="17" t="s">
        <v>150</v>
      </c>
      <c r="D53" s="32" t="s">
        <v>151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</row>
    <row r="54" spans="2:15" ht="27.6" x14ac:dyDescent="0.3">
      <c r="B54" s="18">
        <v>43</v>
      </c>
      <c r="C54" s="19" t="s">
        <v>152</v>
      </c>
      <c r="D54" s="20" t="s">
        <v>153</v>
      </c>
      <c r="E54" s="20" t="s">
        <v>154</v>
      </c>
      <c r="F54" s="21">
        <v>0.15</v>
      </c>
      <c r="G54" s="22">
        <v>1</v>
      </c>
      <c r="H54" s="23">
        <f>F54 * G54 * 24252.0993</f>
        <v>3637.814895</v>
      </c>
      <c r="I54" s="23">
        <f>F54 * G54 * 263986.45905</f>
        <v>39597.968857499996</v>
      </c>
      <c r="J54" s="23">
        <f>F54 * G54 * 0</f>
        <v>0</v>
      </c>
      <c r="K54" s="23">
        <f>F54 * G54 * 23092.848953</f>
        <v>3463.9273429499999</v>
      </c>
      <c r="L54" s="23">
        <f>F54 * G54 * 33357.182766</f>
        <v>5003.5774148999999</v>
      </c>
      <c r="M54" s="23">
        <f>F54 * G54 * 4850.41986</f>
        <v>727.56297899999993</v>
      </c>
      <c r="N54" s="24">
        <f>SUM(H54:M54)</f>
        <v>52430.851489350003</v>
      </c>
      <c r="O54" s="25">
        <f>IF(O3&gt;0,N54/O3/12,0)</f>
        <v>0.4625636664421377</v>
      </c>
    </row>
    <row r="55" spans="2:15" x14ac:dyDescent="0.3">
      <c r="B55" s="18">
        <v>44</v>
      </c>
      <c r="C55" s="19" t="s">
        <v>155</v>
      </c>
      <c r="D55" s="20" t="s">
        <v>156</v>
      </c>
      <c r="E55" s="20" t="s">
        <v>31</v>
      </c>
      <c r="F55" s="21">
        <v>0.02</v>
      </c>
      <c r="G55" s="22">
        <v>0.1</v>
      </c>
      <c r="H55" s="23">
        <f>F55 * G55 * 124468.056</f>
        <v>248.93611200000001</v>
      </c>
      <c r="I55" s="23">
        <f>F55 * G55 * 642333.712216</f>
        <v>1284.667424432</v>
      </c>
      <c r="J55" s="23">
        <f>F55 * G55 * 0</f>
        <v>0</v>
      </c>
      <c r="K55" s="23">
        <f>F55 * G55 * 118518.482923</f>
        <v>237.03696584600002</v>
      </c>
      <c r="L55" s="23">
        <f>F55 * G55 * 96027.562477</f>
        <v>192.05512495400001</v>
      </c>
      <c r="M55" s="23">
        <f>F55 * G55 * 24893.6112</f>
        <v>49.787222399999997</v>
      </c>
      <c r="N55" s="24">
        <f>SUM(H55:M55)</f>
        <v>2012.4828496319999</v>
      </c>
      <c r="O55" s="25">
        <f>IF(O3&gt;0,N55/O3/12,0)</f>
        <v>1.7754841264914192E-2</v>
      </c>
    </row>
    <row r="56" spans="2:15" s="15" customFormat="1" ht="14.4" x14ac:dyDescent="0.3">
      <c r="B56" s="16"/>
      <c r="C56" s="17" t="s">
        <v>157</v>
      </c>
      <c r="D56" s="32" t="s">
        <v>158</v>
      </c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</row>
    <row r="57" spans="2:15" ht="41.4" x14ac:dyDescent="0.3">
      <c r="B57" s="18">
        <v>45</v>
      </c>
      <c r="C57" s="19" t="s">
        <v>159</v>
      </c>
      <c r="D57" s="20" t="s">
        <v>160</v>
      </c>
      <c r="E57" s="20" t="s">
        <v>161</v>
      </c>
      <c r="F57" s="21">
        <v>0.05</v>
      </c>
      <c r="G57" s="22">
        <v>0.2</v>
      </c>
      <c r="H57" s="23">
        <f>F57 * G57 * 73653.02175</f>
        <v>736.53021750000016</v>
      </c>
      <c r="I57" s="23">
        <f>F57 * G57 * 258714.869366</f>
        <v>2587.1486936600004</v>
      </c>
      <c r="J57" s="23">
        <f>F57 * G57 * 0</f>
        <v>0</v>
      </c>
      <c r="K57" s="23">
        <f>F57 * G57 * 70132.407311</f>
        <v>701.3240731100002</v>
      </c>
      <c r="L57" s="23">
        <f>F57 * G57 * 44017.860243</f>
        <v>440.17860243000013</v>
      </c>
      <c r="M57" s="23">
        <f>F57 * G57 * 14730.60435</f>
        <v>147.30604350000002</v>
      </c>
      <c r="N57" s="24">
        <f>SUM(H57:M57)</f>
        <v>4612.4876302000002</v>
      </c>
      <c r="O57" s="25">
        <f>IF(O3&gt;0,N57/O3/12,0)</f>
        <v>4.0693010489781946E-2</v>
      </c>
    </row>
    <row r="58" spans="2:15" ht="27.6" x14ac:dyDescent="0.3">
      <c r="B58" s="18">
        <v>46</v>
      </c>
      <c r="C58" s="19" t="s">
        <v>162</v>
      </c>
      <c r="D58" s="20" t="s">
        <v>163</v>
      </c>
      <c r="E58" s="20" t="s">
        <v>164</v>
      </c>
      <c r="F58" s="21">
        <v>0.05</v>
      </c>
      <c r="G58" s="22">
        <v>1</v>
      </c>
      <c r="H58" s="23">
        <f>F58 * G58 * 16061.5572</f>
        <v>803.07785999999999</v>
      </c>
      <c r="I58" s="23">
        <f>F58 * G58 * 3257.331154</f>
        <v>162.86655770000002</v>
      </c>
      <c r="J58" s="23">
        <f>F58 * G58 * 0</f>
        <v>0</v>
      </c>
      <c r="K58" s="23">
        <f>F58 * G58 * 15293.814766</f>
        <v>764.69073830000002</v>
      </c>
      <c r="L58" s="23">
        <f>F58 * G58 * 3990.539036</f>
        <v>199.52695180000001</v>
      </c>
      <c r="M58" s="23">
        <f>F58 * G58 * 3212.31144</f>
        <v>160.61557200000001</v>
      </c>
      <c r="N58" s="24">
        <f>SUM(H58:M58)</f>
        <v>2090.7776798</v>
      </c>
      <c r="O58" s="25">
        <f>IF(O3&gt;0,N58/O3/12,0)</f>
        <v>1.8445586173249907E-2</v>
      </c>
    </row>
    <row r="59" spans="2:15" ht="27.6" x14ac:dyDescent="0.3">
      <c r="B59" s="18">
        <v>47</v>
      </c>
      <c r="C59" s="19" t="s">
        <v>165</v>
      </c>
      <c r="D59" s="20" t="s">
        <v>166</v>
      </c>
      <c r="E59" s="20" t="s">
        <v>167</v>
      </c>
      <c r="F59" s="21">
        <v>0.3</v>
      </c>
      <c r="G59" s="22">
        <v>12</v>
      </c>
      <c r="H59" s="23">
        <f>F59 * G59 * 2796.92634</f>
        <v>10068.934823999998</v>
      </c>
      <c r="I59" s="23">
        <f>F59 * G59 * 1041.05799</f>
        <v>3747.8087639999999</v>
      </c>
      <c r="J59" s="23">
        <f>F59 * G59 * 0</f>
        <v>0</v>
      </c>
      <c r="K59" s="23">
        <f>F59 * G59 * 2663.233261</f>
        <v>9587.6397395999993</v>
      </c>
      <c r="L59" s="23">
        <f>F59 * G59 * 744.893601</f>
        <v>2681.6169635999995</v>
      </c>
      <c r="M59" s="23">
        <f>F59 * G59 * 559.385268</f>
        <v>2013.7869647999999</v>
      </c>
      <c r="N59" s="24">
        <f>SUM(H59:M59)</f>
        <v>28099.787256</v>
      </c>
      <c r="O59" s="25">
        <f>IF(O3&gt;0,N59/O3/12,0)</f>
        <v>0.24790634235683962</v>
      </c>
    </row>
    <row r="60" spans="2:15" ht="27.6" x14ac:dyDescent="0.3">
      <c r="B60" s="18">
        <v>48</v>
      </c>
      <c r="C60" s="19" t="s">
        <v>168</v>
      </c>
      <c r="D60" s="20" t="s">
        <v>169</v>
      </c>
      <c r="E60" s="20" t="s">
        <v>170</v>
      </c>
      <c r="F60" s="21">
        <v>0.05</v>
      </c>
      <c r="G60" s="22">
        <v>1</v>
      </c>
      <c r="H60" s="23">
        <f>F60 * G60 * 8584.6254</f>
        <v>429.23127000000005</v>
      </c>
      <c r="I60" s="23">
        <f>F60 * G60 * 59165.10212</f>
        <v>2958.2551060000005</v>
      </c>
      <c r="J60" s="23">
        <f>F60 * G60 * 0</f>
        <v>0</v>
      </c>
      <c r="K60" s="23">
        <f>F60 * G60 * 8174.280306</f>
        <v>408.71401530000003</v>
      </c>
      <c r="L60" s="23">
        <f>F60 * G60 * 8191.118422</f>
        <v>409.55592109999998</v>
      </c>
      <c r="M60" s="23">
        <f>F60 * G60 * 1716.92508</f>
        <v>85.846254000000002</v>
      </c>
      <c r="N60" s="24">
        <f>SUM(H60:M60)</f>
        <v>4291.6025664000008</v>
      </c>
      <c r="O60" s="25">
        <f>IF(O3&gt;0,N60/O3/12,0)</f>
        <v>3.7862048043024871E-2</v>
      </c>
    </row>
    <row r="61" spans="2:15" ht="27.6" x14ac:dyDescent="0.3">
      <c r="B61" s="18">
        <v>49</v>
      </c>
      <c r="C61" s="19" t="s">
        <v>171</v>
      </c>
      <c r="D61" s="20" t="s">
        <v>172</v>
      </c>
      <c r="E61" s="20" t="s">
        <v>173</v>
      </c>
      <c r="F61" s="21">
        <v>0.05</v>
      </c>
      <c r="G61" s="22">
        <v>0.5</v>
      </c>
      <c r="H61" s="23">
        <f>F61 * G61 * 14676.9402</f>
        <v>366.92350499999998</v>
      </c>
      <c r="I61" s="23">
        <f>F61 * G61 * 3808.021467</f>
        <v>95.200536675000009</v>
      </c>
      <c r="J61" s="23">
        <f>F61 * G61 * 0</f>
        <v>0</v>
      </c>
      <c r="K61" s="23">
        <f>F61 * G61 * 13975.382458</f>
        <v>349.38456145000004</v>
      </c>
      <c r="L61" s="23">
        <f>F61 * G61 * 3734.249744</f>
        <v>93.356243600000013</v>
      </c>
      <c r="M61" s="23">
        <f>F61 * G61 * 2935.38804</f>
        <v>73.384700999999993</v>
      </c>
      <c r="N61" s="24">
        <f>SUM(H61:M61)</f>
        <v>978.24954772499996</v>
      </c>
      <c r="O61" s="25">
        <f>IF(O3&gt;0,N61/O3/12,0)</f>
        <v>8.6304663120520438E-3</v>
      </c>
    </row>
    <row r="62" spans="2:15" s="15" customFormat="1" ht="14.4" x14ac:dyDescent="0.3">
      <c r="B62" s="16"/>
      <c r="C62" s="17" t="s">
        <v>174</v>
      </c>
      <c r="D62" s="32" t="s">
        <v>175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</row>
    <row r="63" spans="2:15" ht="27.6" x14ac:dyDescent="0.3">
      <c r="B63" s="18">
        <v>50</v>
      </c>
      <c r="C63" s="19" t="s">
        <v>176</v>
      </c>
      <c r="D63" s="20" t="s">
        <v>177</v>
      </c>
      <c r="E63" s="20" t="s">
        <v>178</v>
      </c>
      <c r="F63" s="21">
        <v>9.82</v>
      </c>
      <c r="G63" s="22">
        <v>1</v>
      </c>
      <c r="H63" s="23">
        <f>F63 * G63 * 1543.31541</f>
        <v>15155.357326199999</v>
      </c>
      <c r="I63" s="23">
        <f>F63 * G63 * 585.687533</f>
        <v>5751.4515740600009</v>
      </c>
      <c r="J63" s="23">
        <f>F63 * G63 * 0</f>
        <v>0</v>
      </c>
      <c r="K63" s="23">
        <f>F63 * G63 * 1469.544934</f>
        <v>14430.93125188</v>
      </c>
      <c r="L63" s="23">
        <f>F63 * G63 * 412.210756</f>
        <v>4047.9096239200003</v>
      </c>
      <c r="M63" s="23">
        <f>F63 * G63 * 308.663082</f>
        <v>3031.0714652399997</v>
      </c>
      <c r="N63" s="24">
        <f>SUM(H63:M63)</f>
        <v>42416.721241300002</v>
      </c>
      <c r="O63" s="25">
        <f>IF(O3&gt;0,N63/O3/12,0)</f>
        <v>0.37421543878255004</v>
      </c>
    </row>
    <row r="64" spans="2:15" ht="27.6" x14ac:dyDescent="0.3">
      <c r="B64" s="18">
        <v>51</v>
      </c>
      <c r="C64" s="19" t="s">
        <v>179</v>
      </c>
      <c r="D64" s="20" t="s">
        <v>180</v>
      </c>
      <c r="E64" s="20" t="s">
        <v>181</v>
      </c>
      <c r="F64" s="21">
        <v>1</v>
      </c>
      <c r="G64" s="22">
        <v>1</v>
      </c>
      <c r="H64" s="23">
        <f>F64 * G64 * 112.89954</f>
        <v>112.89954</v>
      </c>
      <c r="I64" s="23">
        <f>F64 * G64 * 143.535712</f>
        <v>143.53571199999999</v>
      </c>
      <c r="J64" s="23">
        <f>F64 * G64 * 0</f>
        <v>0</v>
      </c>
      <c r="K64" s="23">
        <f>F64 * G64 * 107.502942</f>
        <v>107.502942</v>
      </c>
      <c r="L64" s="23">
        <f>F64 * G64 * 40.77766</f>
        <v>40.777659999999997</v>
      </c>
      <c r="M64" s="23">
        <f>F64 * G64 * 22.579908</f>
        <v>22.579908</v>
      </c>
      <c r="N64" s="24">
        <f>SUM(H64:M64)</f>
        <v>427.29576200000002</v>
      </c>
      <c r="O64" s="25">
        <f>IF(O3&gt;0,N64/O3/12,0)</f>
        <v>3.7697555677892233E-3</v>
      </c>
    </row>
    <row r="65" spans="2:15" ht="41.4" x14ac:dyDescent="0.3">
      <c r="B65" s="18">
        <v>52</v>
      </c>
      <c r="C65" s="19" t="s">
        <v>182</v>
      </c>
      <c r="D65" s="20" t="s">
        <v>183</v>
      </c>
      <c r="E65" s="20" t="s">
        <v>184</v>
      </c>
      <c r="F65" s="21">
        <v>8</v>
      </c>
      <c r="G65" s="22">
        <v>1</v>
      </c>
      <c r="H65" s="23">
        <f>F65 * G65 * 212.36256</f>
        <v>1698.90048</v>
      </c>
      <c r="I65" s="23">
        <f>F65 * G65 * 0</f>
        <v>0</v>
      </c>
      <c r="J65" s="23">
        <f>F65 * G65 * 0</f>
        <v>0</v>
      </c>
      <c r="K65" s="23">
        <f>F65 * G65 * 202.21163</f>
        <v>1617.6930400000001</v>
      </c>
      <c r="L65" s="23">
        <f>F65 * G65 * 48.218428</f>
        <v>385.74742400000002</v>
      </c>
      <c r="M65" s="23">
        <f>F65 * G65 * 42.472512</f>
        <v>339.78009600000001</v>
      </c>
      <c r="N65" s="24">
        <f>SUM(H65:M65)</f>
        <v>4042.1210400000004</v>
      </c>
      <c r="O65" s="25">
        <f>IF(O3&gt;0,N65/O3/12,0)</f>
        <v>3.5661033062663432E-2</v>
      </c>
    </row>
    <row r="66" spans="2:15" ht="41.4" x14ac:dyDescent="0.3">
      <c r="B66" s="18">
        <v>53</v>
      </c>
      <c r="C66" s="19" t="s">
        <v>185</v>
      </c>
      <c r="D66" s="20" t="s">
        <v>186</v>
      </c>
      <c r="E66" s="20" t="s">
        <v>184</v>
      </c>
      <c r="F66" s="21">
        <v>12</v>
      </c>
      <c r="G66" s="22">
        <v>1</v>
      </c>
      <c r="H66" s="23">
        <f>F66 * G66 * 254.835072</f>
        <v>3058.0208640000001</v>
      </c>
      <c r="I66" s="23">
        <f>F66 * G66 * 0</f>
        <v>0</v>
      </c>
      <c r="J66" s="23">
        <f>F66 * G66 * 0</f>
        <v>0</v>
      </c>
      <c r="K66" s="23">
        <f>F66 * G66 * 242.653956</f>
        <v>2911.8474719999999</v>
      </c>
      <c r="L66" s="23">
        <f>F66 * G66 * 57.862112</f>
        <v>694.34534400000007</v>
      </c>
      <c r="M66" s="23">
        <f>F66 * G66 * 50.967014</f>
        <v>611.60416799999996</v>
      </c>
      <c r="N66" s="24">
        <f>SUM(H66:M66)</f>
        <v>7275.8178479999997</v>
      </c>
      <c r="O66" s="25">
        <f>IF(O3&gt;0,N66/O3/12,0)</f>
        <v>6.4189859301057625E-2</v>
      </c>
    </row>
    <row r="67" spans="2:15" ht="41.4" x14ac:dyDescent="0.3">
      <c r="B67" s="18">
        <v>54</v>
      </c>
      <c r="C67" s="19" t="s">
        <v>187</v>
      </c>
      <c r="D67" s="20" t="s">
        <v>188</v>
      </c>
      <c r="E67" s="20" t="s">
        <v>189</v>
      </c>
      <c r="F67" s="21"/>
      <c r="G67" s="22">
        <v>1</v>
      </c>
      <c r="H67" s="23">
        <f>F67 * G67 * 60.169392</f>
        <v>0</v>
      </c>
      <c r="I67" s="23">
        <f>F67 * G67 * 0</f>
        <v>0</v>
      </c>
      <c r="J67" s="23">
        <f>F67 * G67 * 0</f>
        <v>0</v>
      </c>
      <c r="K67" s="23">
        <f>F67 * G67 * 57.293295</f>
        <v>0</v>
      </c>
      <c r="L67" s="23">
        <f>F67 * G67 * 13.661888</f>
        <v>0</v>
      </c>
      <c r="M67" s="23">
        <f>F67 * G67 * 12.033878</f>
        <v>0</v>
      </c>
      <c r="N67" s="24">
        <f>SUM(H67:M67)</f>
        <v>0</v>
      </c>
      <c r="O67" s="25">
        <f>IF(O3&gt;0,N67/O3/12,0)</f>
        <v>0</v>
      </c>
    </row>
    <row r="68" spans="2:15" s="15" customFormat="1" ht="14.4" x14ac:dyDescent="0.3">
      <c r="B68" s="16"/>
      <c r="C68" s="17" t="s">
        <v>190</v>
      </c>
      <c r="D68" s="32" t="s">
        <v>191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</row>
    <row r="69" spans="2:15" x14ac:dyDescent="0.3">
      <c r="B69" s="18">
        <v>55</v>
      </c>
      <c r="C69" s="19" t="s">
        <v>192</v>
      </c>
      <c r="D69" s="20" t="s">
        <v>193</v>
      </c>
      <c r="E69" s="20" t="s">
        <v>194</v>
      </c>
      <c r="F69" s="21">
        <v>2</v>
      </c>
      <c r="G69" s="22">
        <v>1</v>
      </c>
      <c r="H69" s="23">
        <f>F69 * G69 * 22.153872</f>
        <v>44.307744</v>
      </c>
      <c r="I69" s="23">
        <f>F69 * G69 * 2144.09864</f>
        <v>4288.1972800000003</v>
      </c>
      <c r="J69" s="23">
        <f t="shared" ref="J69:J74" si="8">F69 * G69 * 0</f>
        <v>0</v>
      </c>
      <c r="K69" s="23">
        <f>F69 * G69 * 21.094917</f>
        <v>42.189833999999998</v>
      </c>
      <c r="L69" s="23">
        <f>F69 * G69 * 231.2326</f>
        <v>462.46519999999998</v>
      </c>
      <c r="M69" s="23">
        <f>F69 * G69 * 4.430774</f>
        <v>8.8615480000000009</v>
      </c>
      <c r="N69" s="24">
        <f t="shared" ref="N69:N74" si="9">SUM(H69:M69)</f>
        <v>4846.0216059999993</v>
      </c>
      <c r="O69" s="25">
        <f>IF(O3&gt;0,N69/O3/12,0)</f>
        <v>4.2753330492534512E-2</v>
      </c>
    </row>
    <row r="70" spans="2:15" x14ac:dyDescent="0.3">
      <c r="B70" s="18">
        <v>56</v>
      </c>
      <c r="C70" s="19" t="s">
        <v>195</v>
      </c>
      <c r="D70" s="20" t="s">
        <v>196</v>
      </c>
      <c r="E70" s="20" t="s">
        <v>197</v>
      </c>
      <c r="F70" s="21">
        <v>0.05</v>
      </c>
      <c r="G70" s="22">
        <v>1</v>
      </c>
      <c r="H70" s="23">
        <f>F70 * G70 * 55384.68</f>
        <v>2769.2340000000004</v>
      </c>
      <c r="I70" s="23">
        <f>F70 * G70 * 128380.439975</f>
        <v>6419.0219987500004</v>
      </c>
      <c r="J70" s="23">
        <f t="shared" si="8"/>
        <v>0</v>
      </c>
      <c r="K70" s="23">
        <f>F70 * G70 * 52737.292296</f>
        <v>2636.8646148000003</v>
      </c>
      <c r="L70" s="23">
        <f>F70 * G70 * 26119.621242</f>
        <v>1305.9810621000001</v>
      </c>
      <c r="M70" s="23">
        <f>F70 * G70 * 11076.936</f>
        <v>553.84680000000003</v>
      </c>
      <c r="N70" s="24">
        <f t="shared" si="9"/>
        <v>13684.948475650001</v>
      </c>
      <c r="O70" s="25">
        <f>IF(O3&gt;0,N70/O3/12,0)</f>
        <v>0.12073349492052821</v>
      </c>
    </row>
    <row r="71" spans="2:15" x14ac:dyDescent="0.3">
      <c r="B71" s="18">
        <v>57</v>
      </c>
      <c r="C71" s="19" t="s">
        <v>198</v>
      </c>
      <c r="D71" s="20" t="s">
        <v>199</v>
      </c>
      <c r="E71" s="20" t="s">
        <v>200</v>
      </c>
      <c r="F71" s="21">
        <v>7</v>
      </c>
      <c r="G71" s="22">
        <v>1</v>
      </c>
      <c r="H71" s="23">
        <f>F71 * G71 * 378.696846</f>
        <v>2650.8779220000001</v>
      </c>
      <c r="I71" s="23">
        <f>F71 * G71 * 27.398681</f>
        <v>191.79076699999999</v>
      </c>
      <c r="J71" s="23">
        <f t="shared" si="8"/>
        <v>0</v>
      </c>
      <c r="K71" s="23">
        <f>F71 * G71 * 360.595137</f>
        <v>2524.1659589999999</v>
      </c>
      <c r="L71" s="23">
        <f>F71 * G71 * 88.876368</f>
        <v>622.13457600000004</v>
      </c>
      <c r="M71" s="23">
        <f>F71 * G71 * 75.739369</f>
        <v>530.17558299999996</v>
      </c>
      <c r="N71" s="24">
        <f t="shared" si="9"/>
        <v>6519.1448070000006</v>
      </c>
      <c r="O71" s="25">
        <f>IF(O3&gt;0,N71/O3/12,0)</f>
        <v>5.7514219936055565E-2</v>
      </c>
    </row>
    <row r="72" spans="2:15" x14ac:dyDescent="0.3">
      <c r="B72" s="18">
        <v>58</v>
      </c>
      <c r="C72" s="19" t="s">
        <v>201</v>
      </c>
      <c r="D72" s="20" t="s">
        <v>202</v>
      </c>
      <c r="E72" s="20" t="s">
        <v>203</v>
      </c>
      <c r="F72" s="21">
        <v>5</v>
      </c>
      <c r="G72" s="22">
        <v>1</v>
      </c>
      <c r="H72" s="23">
        <f>F72 * G72 * 52.615446</f>
        <v>263.07722999999999</v>
      </c>
      <c r="I72" s="23">
        <f>F72 * G72 * 62.20356</f>
        <v>311.01780000000002</v>
      </c>
      <c r="J72" s="23">
        <f t="shared" si="8"/>
        <v>0</v>
      </c>
      <c r="K72" s="23">
        <f>F72 * G72 * 50.100428</f>
        <v>250.50214</v>
      </c>
      <c r="L72" s="23">
        <f>F72 * G72 * 18.509187</f>
        <v>92.545935</v>
      </c>
      <c r="M72" s="23">
        <f>F72 * G72 * 10.523089</f>
        <v>52.615445000000001</v>
      </c>
      <c r="N72" s="24">
        <f t="shared" si="9"/>
        <v>969.75855000000001</v>
      </c>
      <c r="O72" s="25">
        <f>IF(O3&gt;0,N72/O3/12,0)</f>
        <v>8.5555557025948307E-3</v>
      </c>
    </row>
    <row r="73" spans="2:15" ht="27.6" x14ac:dyDescent="0.3">
      <c r="B73" s="18">
        <v>59</v>
      </c>
      <c r="C73" s="19" t="s">
        <v>204</v>
      </c>
      <c r="D73" s="20" t="s">
        <v>205</v>
      </c>
      <c r="E73" s="20" t="s">
        <v>206</v>
      </c>
      <c r="F73" s="21">
        <v>5</v>
      </c>
      <c r="G73" s="22">
        <v>1</v>
      </c>
      <c r="H73" s="23">
        <f>F73 * G73 * 278.858587</f>
        <v>1394.2929349999999</v>
      </c>
      <c r="I73" s="23">
        <f>F73 * G73 * 1088.06144</f>
        <v>5440.3071999999993</v>
      </c>
      <c r="J73" s="23">
        <f t="shared" si="8"/>
        <v>0</v>
      </c>
      <c r="K73" s="23">
        <f>F73 * G73 * 265.529146999999</f>
        <v>1327.6457349999951</v>
      </c>
      <c r="L73" s="23">
        <f>F73 * G73 * 178.107304</f>
        <v>890.53652</v>
      </c>
      <c r="M73" s="23">
        <f>F73 * G73 * 55.771717</f>
        <v>278.85858500000001</v>
      </c>
      <c r="N73" s="24">
        <f t="shared" si="9"/>
        <v>9331.640974999993</v>
      </c>
      <c r="O73" s="25">
        <f>IF(O3&gt;0,N73/O3/12,0)</f>
        <v>8.2327063946204732E-2</v>
      </c>
    </row>
    <row r="74" spans="2:15" x14ac:dyDescent="0.3">
      <c r="B74" s="18">
        <v>60</v>
      </c>
      <c r="C74" s="19" t="s">
        <v>207</v>
      </c>
      <c r="D74" s="20" t="s">
        <v>208</v>
      </c>
      <c r="E74" s="20" t="s">
        <v>31</v>
      </c>
      <c r="F74" s="21">
        <v>0.03</v>
      </c>
      <c r="G74" s="22">
        <v>1</v>
      </c>
      <c r="H74" s="23">
        <f>F74 * G74 * 7108.2468</f>
        <v>213.24740399999999</v>
      </c>
      <c r="I74" s="23">
        <f>F74 * G74 * 1857.4024</f>
        <v>55.722071999999997</v>
      </c>
      <c r="J74" s="23">
        <f t="shared" si="8"/>
        <v>0</v>
      </c>
      <c r="K74" s="23">
        <f>F74 * G74 * 6768.472603</f>
        <v>203.05417808999999</v>
      </c>
      <c r="L74" s="23">
        <f>F74 * G74 * 1809.93385799999</f>
        <v>54.298015739999698</v>
      </c>
      <c r="M74" s="23">
        <f>F74 * G74 * 1421.64936</f>
        <v>42.649480799999992</v>
      </c>
      <c r="N74" s="24">
        <f t="shared" si="9"/>
        <v>568.97115062999967</v>
      </c>
      <c r="O74" s="25">
        <f>IF(O3&gt;0,N74/O3/12,0)</f>
        <v>5.019666361677797E-3</v>
      </c>
    </row>
    <row r="75" spans="2:15" s="15" customFormat="1" ht="14.4" x14ac:dyDescent="0.3">
      <c r="B75" s="16"/>
      <c r="C75" s="17" t="s">
        <v>209</v>
      </c>
      <c r="D75" s="32" t="s">
        <v>210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</row>
    <row r="76" spans="2:15" ht="27.6" x14ac:dyDescent="0.3">
      <c r="B76" s="18">
        <v>61</v>
      </c>
      <c r="C76" s="19" t="s">
        <v>211</v>
      </c>
      <c r="D76" s="20" t="s">
        <v>212</v>
      </c>
      <c r="E76" s="20" t="s">
        <v>213</v>
      </c>
      <c r="F76" s="21">
        <v>9.4450000000000003</v>
      </c>
      <c r="G76" s="22">
        <v>1</v>
      </c>
      <c r="H76" s="23">
        <f>F76 * G76 * 6447.23556</f>
        <v>60894.139864200006</v>
      </c>
      <c r="I76" s="23">
        <f>F76 * G76 * 6822.7517</f>
        <v>64440.889806500003</v>
      </c>
      <c r="J76" s="23">
        <f t="shared" ref="J76:J93" si="10">F76 * G76 * 0</f>
        <v>0</v>
      </c>
      <c r="K76" s="23">
        <f>F76 * G76 * 6139.05769999999</f>
        <v>57983.39997649991</v>
      </c>
      <c r="L76" s="23">
        <f>F76 * G76 * 2183.690913</f>
        <v>20624.960673285001</v>
      </c>
      <c r="M76" s="23">
        <f>F76 * G76 * 1289.447112</f>
        <v>12178.827972840001</v>
      </c>
      <c r="N76" s="24">
        <f t="shared" ref="N76:N93" si="11">SUM(H76:M76)</f>
        <v>216122.21829332493</v>
      </c>
      <c r="O76" s="25">
        <f>IF(O3&gt;0,N76/O3/12,0)</f>
        <v>1.9067072697393603</v>
      </c>
    </row>
    <row r="77" spans="2:15" ht="27.6" x14ac:dyDescent="0.3">
      <c r="B77" s="18">
        <v>62</v>
      </c>
      <c r="C77" s="19" t="s">
        <v>214</v>
      </c>
      <c r="D77" s="20" t="s">
        <v>215</v>
      </c>
      <c r="E77" s="20" t="s">
        <v>213</v>
      </c>
      <c r="F77" s="21">
        <v>9.4450000000000003</v>
      </c>
      <c r="G77" s="22">
        <v>2</v>
      </c>
      <c r="H77" s="23">
        <f>F77 * G77 * 108.000126</f>
        <v>2040.1223801399999</v>
      </c>
      <c r="I77" s="23">
        <f t="shared" ref="I77:I83" si="12">F77 * G77 * 0</f>
        <v>0</v>
      </c>
      <c r="J77" s="23">
        <f t="shared" si="10"/>
        <v>0</v>
      </c>
      <c r="K77" s="23">
        <f>F77 * G77 * 102.837719999999</f>
        <v>1942.6045307999811</v>
      </c>
      <c r="L77" s="23">
        <f>F77 * G77 * 24.522195</f>
        <v>463.22426354999999</v>
      </c>
      <c r="M77" s="23">
        <f>F77 * G77 * 21.600025</f>
        <v>408.02447224999997</v>
      </c>
      <c r="N77" s="24">
        <f t="shared" si="11"/>
        <v>4853.9756467399811</v>
      </c>
      <c r="O77" s="25">
        <f>IF(O3&gt;0,N77/O3/12,0)</f>
        <v>4.2823503876013962E-2</v>
      </c>
    </row>
    <row r="78" spans="2:15" ht="27.6" x14ac:dyDescent="0.3">
      <c r="B78" s="18">
        <v>63</v>
      </c>
      <c r="C78" s="19" t="s">
        <v>216</v>
      </c>
      <c r="D78" s="20" t="s">
        <v>217</v>
      </c>
      <c r="E78" s="20" t="s">
        <v>213</v>
      </c>
      <c r="F78" s="21">
        <v>9.4450000000000003</v>
      </c>
      <c r="G78" s="22">
        <v>2</v>
      </c>
      <c r="H78" s="23">
        <f>F78 * G78 * 861.231774</f>
        <v>16268.66821086</v>
      </c>
      <c r="I78" s="23">
        <f t="shared" si="12"/>
        <v>0</v>
      </c>
      <c r="J78" s="23">
        <f t="shared" si="10"/>
        <v>0</v>
      </c>
      <c r="K78" s="23">
        <f>F78 * G78 * 820.064895</f>
        <v>15491.025866550001</v>
      </c>
      <c r="L78" s="23">
        <f>F78 * G78 * 195.548789</f>
        <v>3693.91662421</v>
      </c>
      <c r="M78" s="23">
        <f>F78 * G78 * 172.246355</f>
        <v>3253.7336459500002</v>
      </c>
      <c r="N78" s="24">
        <f t="shared" si="11"/>
        <v>38707.344347569997</v>
      </c>
      <c r="O78" s="25">
        <f>IF(O3&gt;0,N78/O3/12,0)</f>
        <v>0.3414899932206365</v>
      </c>
    </row>
    <row r="79" spans="2:15" ht="27.6" x14ac:dyDescent="0.3">
      <c r="B79" s="18">
        <v>64</v>
      </c>
      <c r="C79" s="19" t="s">
        <v>218</v>
      </c>
      <c r="D79" s="20" t="s">
        <v>219</v>
      </c>
      <c r="E79" s="20" t="s">
        <v>213</v>
      </c>
      <c r="F79" s="21">
        <v>1.794</v>
      </c>
      <c r="G79" s="22">
        <v>2</v>
      </c>
      <c r="H79" s="23">
        <f>F79 * G79 * 428.772462</f>
        <v>1538.435593656</v>
      </c>
      <c r="I79" s="23">
        <f t="shared" si="12"/>
        <v>0</v>
      </c>
      <c r="J79" s="23">
        <f t="shared" si="10"/>
        <v>0</v>
      </c>
      <c r="K79" s="23">
        <f>F79 * G79 * 408.277138</f>
        <v>1464.8983711440001</v>
      </c>
      <c r="L79" s="23">
        <f>F79 * G79 * 97.355831</f>
        <v>349.31272162799996</v>
      </c>
      <c r="M79" s="23">
        <f>F79 * G79 * 85.754492</f>
        <v>307.687117296</v>
      </c>
      <c r="N79" s="24">
        <f t="shared" si="11"/>
        <v>3660.3338037240001</v>
      </c>
      <c r="O79" s="25">
        <f>IF(O3&gt;0,N79/O3/12,0)</f>
        <v>3.2292769935208611E-2</v>
      </c>
    </row>
    <row r="80" spans="2:15" ht="27.6" x14ac:dyDescent="0.3">
      <c r="B80" s="18">
        <v>65</v>
      </c>
      <c r="C80" s="19" t="s">
        <v>220</v>
      </c>
      <c r="D80" s="20" t="s">
        <v>221</v>
      </c>
      <c r="E80" s="20" t="s">
        <v>213</v>
      </c>
      <c r="F80" s="21">
        <v>9.4450000000000003</v>
      </c>
      <c r="G80" s="22">
        <v>2</v>
      </c>
      <c r="H80" s="23">
        <f>F80 * G80 * 1251.8904</f>
        <v>23648.209655999999</v>
      </c>
      <c r="I80" s="23">
        <f t="shared" si="12"/>
        <v>0</v>
      </c>
      <c r="J80" s="23">
        <f t="shared" si="10"/>
        <v>0</v>
      </c>
      <c r="K80" s="23">
        <f>F80 * G80 * 1192.050039</f>
        <v>22517.825236709999</v>
      </c>
      <c r="L80" s="23">
        <f>F80 * G80 * 284.250604</f>
        <v>5369.4939095600002</v>
      </c>
      <c r="M80" s="23">
        <f>F80 * G80 * 250.37808</f>
        <v>4729.6419312000007</v>
      </c>
      <c r="N80" s="24">
        <f t="shared" si="11"/>
        <v>56265.170733469997</v>
      </c>
      <c r="O80" s="25">
        <f>IF(O3&gt;0,N80/O3/12,0)</f>
        <v>0.49639139796829945</v>
      </c>
    </row>
    <row r="81" spans="2:15" x14ac:dyDescent="0.3">
      <c r="B81" s="18">
        <v>66</v>
      </c>
      <c r="C81" s="19" t="s">
        <v>222</v>
      </c>
      <c r="D81" s="20" t="s">
        <v>223</v>
      </c>
      <c r="E81" s="20" t="s">
        <v>224</v>
      </c>
      <c r="F81" s="21">
        <v>1.619</v>
      </c>
      <c r="G81" s="22">
        <v>2</v>
      </c>
      <c r="H81" s="23">
        <f>F81 * G81 * 876.32328</f>
        <v>2837.53478064</v>
      </c>
      <c r="I81" s="23">
        <f t="shared" si="12"/>
        <v>0</v>
      </c>
      <c r="J81" s="23">
        <f t="shared" si="10"/>
        <v>0</v>
      </c>
      <c r="K81" s="23">
        <f>F81 * G81 * 834.435027</f>
        <v>2701.9006174259998</v>
      </c>
      <c r="L81" s="23">
        <f>F81 * G81 * 198.975423</f>
        <v>644.28241967400004</v>
      </c>
      <c r="M81" s="23">
        <f>F81 * G81 * 175.264656</f>
        <v>567.50695612799996</v>
      </c>
      <c r="N81" s="24">
        <f t="shared" si="11"/>
        <v>6751.2247738679998</v>
      </c>
      <c r="O81" s="25">
        <f>IF(O3&gt;0,N81/O3/12,0)</f>
        <v>5.9561712153572526E-2</v>
      </c>
    </row>
    <row r="82" spans="2:15" ht="27.6" x14ac:dyDescent="0.3">
      <c r="B82" s="18">
        <v>67</v>
      </c>
      <c r="C82" s="19" t="s">
        <v>225</v>
      </c>
      <c r="D82" s="20" t="s">
        <v>226</v>
      </c>
      <c r="E82" s="20" t="s">
        <v>227</v>
      </c>
      <c r="F82" s="21">
        <v>1.72</v>
      </c>
      <c r="G82" s="22">
        <v>2</v>
      </c>
      <c r="H82" s="23">
        <f>F82 * G82 * 18778.356</f>
        <v>64597.54464</v>
      </c>
      <c r="I82" s="23">
        <f t="shared" si="12"/>
        <v>0</v>
      </c>
      <c r="J82" s="23">
        <f t="shared" si="10"/>
        <v>0</v>
      </c>
      <c r="K82" s="23">
        <f>F82 * G82 * 17880.750583</f>
        <v>61509.782005519999</v>
      </c>
      <c r="L82" s="23">
        <f>F82 * G82 * 4263.759056</f>
        <v>14667.331152639999</v>
      </c>
      <c r="M82" s="23">
        <f>F82 * G82 * 3755.6712</f>
        <v>12919.508928000001</v>
      </c>
      <c r="N82" s="24">
        <f t="shared" si="11"/>
        <v>153694.16672615998</v>
      </c>
      <c r="O82" s="25">
        <f>IF(O3&gt;0,N82/O3/12,0)</f>
        <v>1.3559447396360245</v>
      </c>
    </row>
    <row r="83" spans="2:15" x14ac:dyDescent="0.3">
      <c r="B83" s="18">
        <v>68</v>
      </c>
      <c r="C83" s="19" t="s">
        <v>228</v>
      </c>
      <c r="D83" s="20" t="s">
        <v>229</v>
      </c>
      <c r="E83" s="20" t="s">
        <v>230</v>
      </c>
      <c r="F83" s="21">
        <v>412.91</v>
      </c>
      <c r="G83" s="22">
        <v>1</v>
      </c>
      <c r="H83" s="23">
        <f>F83 * G83 * 272.286162</f>
        <v>112429.67915142</v>
      </c>
      <c r="I83" s="23">
        <f t="shared" si="12"/>
        <v>0</v>
      </c>
      <c r="J83" s="23">
        <f t="shared" si="10"/>
        <v>0</v>
      </c>
      <c r="K83" s="23">
        <f>F83 * G83 * 259.270883</f>
        <v>107055.54029953001</v>
      </c>
      <c r="L83" s="23">
        <f>F83 * G83 * 61.824506</f>
        <v>25527.956772460002</v>
      </c>
      <c r="M83" s="23">
        <f>F83 * G83 * 54.457232</f>
        <v>22485.93566512</v>
      </c>
      <c r="N83" s="24">
        <f t="shared" si="11"/>
        <v>267499.11188853002</v>
      </c>
      <c r="O83" s="25">
        <f>IF(O3&gt;0,N83/O3/12,0)</f>
        <v>2.3599725438429657</v>
      </c>
    </row>
    <row r="84" spans="2:15" ht="41.4" x14ac:dyDescent="0.3">
      <c r="B84" s="18">
        <v>69</v>
      </c>
      <c r="C84" s="19" t="s">
        <v>231</v>
      </c>
      <c r="D84" s="20" t="s">
        <v>232</v>
      </c>
      <c r="E84" s="20" t="s">
        <v>233</v>
      </c>
      <c r="F84" s="21">
        <v>0.15</v>
      </c>
      <c r="G84" s="22">
        <v>1</v>
      </c>
      <c r="H84" s="23">
        <f>F84 * G84 * 9063.9159</f>
        <v>1359.587385</v>
      </c>
      <c r="I84" s="23">
        <f>F84 * G84 * 1272.67587</f>
        <v>190.90138049999999</v>
      </c>
      <c r="J84" s="23">
        <f t="shared" si="10"/>
        <v>0</v>
      </c>
      <c r="K84" s="23">
        <f>F84 * G84 * 8630.66072</f>
        <v>1294.5991079999999</v>
      </c>
      <c r="L84" s="23">
        <f>F84 * G84 * 2192.29376299999</f>
        <v>328.84406444999848</v>
      </c>
      <c r="M84" s="23">
        <f>F84 * G84 * 1812.78318</f>
        <v>271.91747699999996</v>
      </c>
      <c r="N84" s="24">
        <f t="shared" si="11"/>
        <v>3445.8494149499979</v>
      </c>
      <c r="O84" s="25">
        <f>IF(O3&gt;0,N84/O3/12,0)</f>
        <v>3.0400512181468799E-2</v>
      </c>
    </row>
    <row r="85" spans="2:15" ht="27.6" x14ac:dyDescent="0.3">
      <c r="B85" s="18">
        <v>70</v>
      </c>
      <c r="C85" s="19" t="s">
        <v>234</v>
      </c>
      <c r="D85" s="20" t="s">
        <v>235</v>
      </c>
      <c r="E85" s="20" t="s">
        <v>213</v>
      </c>
      <c r="F85" s="21">
        <v>9.4450000000000003</v>
      </c>
      <c r="G85" s="22">
        <v>2</v>
      </c>
      <c r="H85" s="23">
        <f>F85 * G85 * 1163.07828</f>
        <v>21970.5487092</v>
      </c>
      <c r="I85" s="23">
        <f>F85 * G85 * 0</f>
        <v>0</v>
      </c>
      <c r="J85" s="23">
        <f t="shared" si="10"/>
        <v>0</v>
      </c>
      <c r="K85" s="23">
        <f>F85 * G85 * 1107.483138</f>
        <v>20920.356476820001</v>
      </c>
      <c r="L85" s="23">
        <f>F85 * G85 * 264.085181</f>
        <v>4988.5690690900001</v>
      </c>
      <c r="M85" s="23">
        <f>F85 * G85 * 232.615656</f>
        <v>4394.1097418400004</v>
      </c>
      <c r="N85" s="24">
        <f t="shared" si="11"/>
        <v>52273.583996950001</v>
      </c>
      <c r="O85" s="25">
        <f>IF(O3&gt;0,N85/O3/12,0)</f>
        <v>0.46117619654931169</v>
      </c>
    </row>
    <row r="86" spans="2:15" ht="27.6" x14ac:dyDescent="0.3">
      <c r="B86" s="18">
        <v>71</v>
      </c>
      <c r="C86" s="19" t="s">
        <v>236</v>
      </c>
      <c r="D86" s="20" t="s">
        <v>237</v>
      </c>
      <c r="E86" s="20" t="s">
        <v>213</v>
      </c>
      <c r="F86" s="21">
        <v>9.4450000000000003</v>
      </c>
      <c r="G86" s="22">
        <v>3</v>
      </c>
      <c r="H86" s="23">
        <f>F86 * G86 * 1163.07828</f>
        <v>32955.823063800002</v>
      </c>
      <c r="I86" s="23">
        <f>F86 * G86 * 0</f>
        <v>0</v>
      </c>
      <c r="J86" s="23">
        <f t="shared" si="10"/>
        <v>0</v>
      </c>
      <c r="K86" s="23">
        <f>F86 * G86 * 1107.483138</f>
        <v>31380.534715230002</v>
      </c>
      <c r="L86" s="23">
        <f>F86 * G86 * 264.085181</f>
        <v>7482.8536036349997</v>
      </c>
      <c r="M86" s="23">
        <f>F86 * G86 * 232.615656</f>
        <v>6591.1646127600006</v>
      </c>
      <c r="N86" s="24">
        <f t="shared" si="11"/>
        <v>78410.375995424998</v>
      </c>
      <c r="O86" s="25">
        <f>IF(O3&gt;0,N86/O3/12,0)</f>
        <v>0.69176429482396751</v>
      </c>
    </row>
    <row r="87" spans="2:15" x14ac:dyDescent="0.3">
      <c r="B87" s="18">
        <v>72</v>
      </c>
      <c r="C87" s="19" t="s">
        <v>238</v>
      </c>
      <c r="D87" s="20" t="s">
        <v>239</v>
      </c>
      <c r="E87" s="20" t="s">
        <v>124</v>
      </c>
      <c r="F87" s="21">
        <v>4</v>
      </c>
      <c r="G87" s="22">
        <v>0.3</v>
      </c>
      <c r="H87" s="23">
        <f>F87 * G87 * 553.8468</f>
        <v>664.61616000000004</v>
      </c>
      <c r="I87" s="23">
        <f>F87 * G87 * 0</f>
        <v>0</v>
      </c>
      <c r="J87" s="23">
        <f t="shared" si="10"/>
        <v>0</v>
      </c>
      <c r="K87" s="23">
        <f>F87 * G87 * 527.372923</f>
        <v>632.84750759999997</v>
      </c>
      <c r="L87" s="23">
        <f>F87 * G87 * 125.754848</f>
        <v>150.90581759999998</v>
      </c>
      <c r="M87" s="23">
        <f>F87 * G87 * 110.76936</f>
        <v>132.92323200000001</v>
      </c>
      <c r="N87" s="24">
        <f t="shared" si="11"/>
        <v>1581.2927172</v>
      </c>
      <c r="O87" s="25">
        <f>IF(O3&gt;0,N87/O3/12,0)</f>
        <v>1.3950728172607641E-2</v>
      </c>
    </row>
    <row r="88" spans="2:15" ht="41.4" x14ac:dyDescent="0.3">
      <c r="B88" s="18">
        <v>73</v>
      </c>
      <c r="C88" s="19" t="s">
        <v>240</v>
      </c>
      <c r="D88" s="20" t="s">
        <v>241</v>
      </c>
      <c r="E88" s="20" t="s">
        <v>242</v>
      </c>
      <c r="F88" s="21">
        <v>2.4990000000000001</v>
      </c>
      <c r="G88" s="22">
        <v>1</v>
      </c>
      <c r="H88" s="23">
        <f>F88 * G88 * 1251.8904</f>
        <v>3128.4741096000002</v>
      </c>
      <c r="I88" s="23">
        <f>F88 * G88 * 0</f>
        <v>0</v>
      </c>
      <c r="J88" s="23">
        <f t="shared" si="10"/>
        <v>0</v>
      </c>
      <c r="K88" s="23">
        <f>F88 * G88 * 1192.050039</f>
        <v>2978.9330474610001</v>
      </c>
      <c r="L88" s="23">
        <f>F88 * G88 * 284.250604</f>
        <v>710.34225939600003</v>
      </c>
      <c r="M88" s="23">
        <f>F88 * G88 * 250.37808</f>
        <v>625.69482192000009</v>
      </c>
      <c r="N88" s="24">
        <f t="shared" si="11"/>
        <v>7443.4442383770011</v>
      </c>
      <c r="O88" s="25">
        <f>IF(O3&gt;0,N88/O3/12,0)</f>
        <v>6.5668719085377483E-2</v>
      </c>
    </row>
    <row r="89" spans="2:15" x14ac:dyDescent="0.3">
      <c r="B89" s="18">
        <v>74</v>
      </c>
      <c r="C89" s="19" t="s">
        <v>243</v>
      </c>
      <c r="D89" s="20" t="s">
        <v>244</v>
      </c>
      <c r="E89" s="20" t="s">
        <v>245</v>
      </c>
      <c r="F89" s="21">
        <v>2</v>
      </c>
      <c r="G89" s="22">
        <v>1</v>
      </c>
      <c r="H89" s="23">
        <f>F89 * G89 * 1107.6936</f>
        <v>2215.3872000000001</v>
      </c>
      <c r="I89" s="23">
        <f>F89 * G89 * 0</f>
        <v>0</v>
      </c>
      <c r="J89" s="23">
        <f t="shared" si="10"/>
        <v>0</v>
      </c>
      <c r="K89" s="23">
        <f>F89 * G89 * 1054.745846</f>
        <v>2109.4916920000001</v>
      </c>
      <c r="L89" s="23">
        <f>F89 * G89 * 251.509697</f>
        <v>503.01939399999998</v>
      </c>
      <c r="M89" s="23">
        <f>F89 * G89 * 221.53872</f>
        <v>443.07744000000002</v>
      </c>
      <c r="N89" s="24">
        <f t="shared" si="11"/>
        <v>5270.9757260000006</v>
      </c>
      <c r="O89" s="25">
        <f>IF(O3&gt;0,N89/O3/12,0)</f>
        <v>4.6502427259670187E-2</v>
      </c>
    </row>
    <row r="90" spans="2:15" ht="27.6" x14ac:dyDescent="0.3">
      <c r="B90" s="18">
        <v>75</v>
      </c>
      <c r="C90" s="19" t="s">
        <v>246</v>
      </c>
      <c r="D90" s="20" t="s">
        <v>247</v>
      </c>
      <c r="E90" s="20" t="s">
        <v>135</v>
      </c>
      <c r="F90" s="21">
        <v>5</v>
      </c>
      <c r="G90" s="22">
        <v>1</v>
      </c>
      <c r="H90" s="23">
        <f>F90 * G90 * 1061.599782</f>
        <v>5307.9989100000003</v>
      </c>
      <c r="I90" s="23">
        <f>F90 * G90 * 9.279315</f>
        <v>46.396574999999999</v>
      </c>
      <c r="J90" s="23">
        <f t="shared" si="10"/>
        <v>0</v>
      </c>
      <c r="K90" s="23">
        <f>F90 * G90 * 1010.85531199999</f>
        <v>5054.2765599999502</v>
      </c>
      <c r="L90" s="23">
        <f>F90 * G90 * 242.022735999999</f>
        <v>1210.1136799999949</v>
      </c>
      <c r="M90" s="23">
        <f>F90 * G90 * 212.319956</f>
        <v>1061.59978</v>
      </c>
      <c r="N90" s="24">
        <f t="shared" si="11"/>
        <v>12680.385504999946</v>
      </c>
      <c r="O90" s="25">
        <f>IF(O3&gt;0,N90/O3/12,0)</f>
        <v>0.11187088220918817</v>
      </c>
    </row>
    <row r="91" spans="2:15" ht="27.6" x14ac:dyDescent="0.3">
      <c r="B91" s="18">
        <v>76</v>
      </c>
      <c r="C91" s="19" t="s">
        <v>248</v>
      </c>
      <c r="D91" s="20" t="s">
        <v>249</v>
      </c>
      <c r="E91" s="20" t="s">
        <v>250</v>
      </c>
      <c r="F91" s="21">
        <v>412</v>
      </c>
      <c r="G91" s="22">
        <v>1</v>
      </c>
      <c r="H91" s="23">
        <f>F91 * G91 * 256.60476</f>
        <v>105721.16112</v>
      </c>
      <c r="I91" s="23">
        <f>F91 * G91 * 7.007926</f>
        <v>2887.2655119999999</v>
      </c>
      <c r="J91" s="23">
        <f t="shared" si="10"/>
        <v>0</v>
      </c>
      <c r="K91" s="23">
        <f>F91 * G91 * 244.339051999999</f>
        <v>100667.68942399959</v>
      </c>
      <c r="L91" s="23">
        <f>F91 * G91 * 59.003268</f>
        <v>24309.346416</v>
      </c>
      <c r="M91" s="23">
        <f>F91 * G91 * 51.320952</f>
        <v>21144.232223999999</v>
      </c>
      <c r="N91" s="24">
        <f t="shared" si="11"/>
        <v>254729.69469599958</v>
      </c>
      <c r="O91" s="25">
        <f>IF(O3&gt;0,N91/O3/12,0)</f>
        <v>2.2473161923414851</v>
      </c>
    </row>
    <row r="92" spans="2:15" x14ac:dyDescent="0.3">
      <c r="B92" s="18">
        <v>77</v>
      </c>
      <c r="C92" s="19" t="s">
        <v>251</v>
      </c>
      <c r="D92" s="20" t="s">
        <v>252</v>
      </c>
      <c r="E92" s="20" t="s">
        <v>253</v>
      </c>
      <c r="F92" s="21">
        <v>0.04</v>
      </c>
      <c r="G92" s="22">
        <v>1</v>
      </c>
      <c r="H92" s="23">
        <f>F92 * G92 * 9702.1506</f>
        <v>388.08602400000007</v>
      </c>
      <c r="I92" s="23">
        <f>F92 * G92 * 654.56148</f>
        <v>26.1824592</v>
      </c>
      <c r="J92" s="23">
        <f t="shared" si="10"/>
        <v>0</v>
      </c>
      <c r="K92" s="23">
        <f>F92 * G92 * 9238.387801</f>
        <v>369.53551204000001</v>
      </c>
      <c r="L92" s="23">
        <f>F92 * G92 * 2271.998415</f>
        <v>90.879936600000008</v>
      </c>
      <c r="M92" s="23">
        <f>F92 * G92 * 1940.43012</f>
        <v>77.617204799999996</v>
      </c>
      <c r="N92" s="24">
        <f t="shared" si="11"/>
        <v>952.30113663999998</v>
      </c>
      <c r="O92" s="25">
        <f>IF(O3&gt;0,N92/O3/12,0)</f>
        <v>8.401540177364655E-3</v>
      </c>
    </row>
    <row r="93" spans="2:15" ht="27.6" x14ac:dyDescent="0.3">
      <c r="B93" s="18">
        <v>78</v>
      </c>
      <c r="C93" s="19" t="s">
        <v>254</v>
      </c>
      <c r="D93" s="20" t="s">
        <v>255</v>
      </c>
      <c r="E93" s="20" t="s">
        <v>256</v>
      </c>
      <c r="F93" s="21">
        <v>0.1</v>
      </c>
      <c r="G93" s="22">
        <v>1</v>
      </c>
      <c r="H93" s="23">
        <f>F93 * G93 * 15507.7104</f>
        <v>1550.7710400000001</v>
      </c>
      <c r="I93" s="23">
        <f>F93 * G93 * 0</f>
        <v>0</v>
      </c>
      <c r="J93" s="23">
        <f t="shared" si="10"/>
        <v>0</v>
      </c>
      <c r="K93" s="23">
        <f>F93 * G93 * 14766.441843</f>
        <v>1476.6441843000002</v>
      </c>
      <c r="L93" s="23">
        <f>F93 * G93 * 3521.135751</f>
        <v>352.11357509999999</v>
      </c>
      <c r="M93" s="23">
        <f>F93 * G93 * 3101.54208</f>
        <v>310.15420800000004</v>
      </c>
      <c r="N93" s="24">
        <f t="shared" si="11"/>
        <v>3689.6830074000004</v>
      </c>
      <c r="O93" s="25">
        <f>IF(O3&gt;0,N93/O3/12,0)</f>
        <v>3.2551699074711248E-2</v>
      </c>
    </row>
    <row r="94" spans="2:15" s="15" customFormat="1" ht="14.4" x14ac:dyDescent="0.3">
      <c r="B94" s="16"/>
      <c r="C94" s="17" t="s">
        <v>257</v>
      </c>
      <c r="D94" s="32" t="s">
        <v>258</v>
      </c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</row>
    <row r="95" spans="2:15" ht="82.8" x14ac:dyDescent="0.3">
      <c r="B95" s="18">
        <v>79</v>
      </c>
      <c r="C95" s="19" t="s">
        <v>259</v>
      </c>
      <c r="D95" s="20" t="s">
        <v>260</v>
      </c>
      <c r="E95" s="20" t="s">
        <v>261</v>
      </c>
      <c r="F95" s="21">
        <v>9.4459999999999997</v>
      </c>
      <c r="G95" s="22">
        <v>3</v>
      </c>
      <c r="H95" s="23">
        <f>F95 * G95 * 3438.11052</f>
        <v>97429.175915760003</v>
      </c>
      <c r="I95" s="23">
        <f>F95 * G95 * 0</f>
        <v>0</v>
      </c>
      <c r="J95" s="23">
        <f>F95 * G95 * 0</f>
        <v>0</v>
      </c>
      <c r="K95" s="23">
        <f>F95 * G95 * 3273.768837</f>
        <v>92772.061302906004</v>
      </c>
      <c r="L95" s="23">
        <f>F95 * G95 * 780.647404</f>
        <v>22121.986134552004</v>
      </c>
      <c r="M95" s="23">
        <f>F95 * G95 * 687.622104</f>
        <v>19485.835183152001</v>
      </c>
      <c r="N95" s="24">
        <f>SUM(H95:M95)</f>
        <v>231809.05853636999</v>
      </c>
      <c r="O95" s="25">
        <f>IF(O3&gt;0,N95/O3/12,0)</f>
        <v>2.0451021676209806</v>
      </c>
    </row>
    <row r="96" spans="2:15" s="15" customFormat="1" ht="14.4" x14ac:dyDescent="0.3">
      <c r="B96" s="16"/>
      <c r="C96" s="17" t="s">
        <v>262</v>
      </c>
      <c r="D96" s="32" t="s">
        <v>263</v>
      </c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</row>
    <row r="97" spans="2:15" ht="41.4" x14ac:dyDescent="0.3">
      <c r="B97" s="18">
        <v>80</v>
      </c>
      <c r="C97" s="19" t="s">
        <v>264</v>
      </c>
      <c r="D97" s="20" t="s">
        <v>265</v>
      </c>
      <c r="E97" s="20" t="s">
        <v>266</v>
      </c>
      <c r="F97" s="21">
        <v>3.5999999999999997E-2</v>
      </c>
      <c r="G97" s="22">
        <v>365</v>
      </c>
      <c r="H97" s="23">
        <f>F97 * G97 * 2503.7808</f>
        <v>32899.679711999997</v>
      </c>
      <c r="I97" s="23">
        <f t="shared" ref="I97:I143" si="13">F97 * G97 * 0</f>
        <v>0</v>
      </c>
      <c r="J97" s="23">
        <f t="shared" ref="J97:J143" si="14">F97 * G97 * 0</f>
        <v>0</v>
      </c>
      <c r="K97" s="23">
        <f>F97 * G97 * 2384.100078</f>
        <v>31327.075024919995</v>
      </c>
      <c r="L97" s="23">
        <f>F97 * G97 * 568.501207</f>
        <v>7470.1058599799999</v>
      </c>
      <c r="M97" s="23">
        <f>F97 * G97 * 500.75616</f>
        <v>6579.9359423999995</v>
      </c>
      <c r="N97" s="24">
        <f t="shared" ref="N97:N143" si="15">SUM(H97:M97)</f>
        <v>78276.79653929999</v>
      </c>
      <c r="O97" s="25">
        <f>IF(O3&gt;0,N97/O3/12,0)</f>
        <v>0.69058580923330182</v>
      </c>
    </row>
    <row r="98" spans="2:15" ht="27.6" x14ac:dyDescent="0.3">
      <c r="B98" s="18">
        <v>81</v>
      </c>
      <c r="C98" s="19" t="s">
        <v>267</v>
      </c>
      <c r="D98" s="20" t="s">
        <v>268</v>
      </c>
      <c r="E98" s="20" t="s">
        <v>269</v>
      </c>
      <c r="F98" s="21">
        <v>5</v>
      </c>
      <c r="G98" s="22">
        <v>365</v>
      </c>
      <c r="H98" s="23">
        <f>F98 * G98 * 13.654999</f>
        <v>24920.373175000001</v>
      </c>
      <c r="I98" s="23">
        <f t="shared" si="13"/>
        <v>0</v>
      </c>
      <c r="J98" s="23">
        <f t="shared" si="14"/>
        <v>0</v>
      </c>
      <c r="K98" s="23">
        <f>F98 * G98 * 13.00229</f>
        <v>23729.179250000001</v>
      </c>
      <c r="L98" s="23">
        <f>F98 * G98 * 3.100464</f>
        <v>5658.3468000000003</v>
      </c>
      <c r="M98" s="23">
        <f>F98 * G98 * 2.731</f>
        <v>4984.0749999999998</v>
      </c>
      <c r="N98" s="24">
        <f t="shared" si="15"/>
        <v>59291.974224999998</v>
      </c>
      <c r="O98" s="25">
        <f>IF(O3&gt;0,N98/O3/12,0)</f>
        <v>0.52309493759947201</v>
      </c>
    </row>
    <row r="99" spans="2:15" ht="27.6" x14ac:dyDescent="0.3">
      <c r="B99" s="18">
        <v>82</v>
      </c>
      <c r="C99" s="19" t="s">
        <v>270</v>
      </c>
      <c r="D99" s="20" t="s">
        <v>271</v>
      </c>
      <c r="E99" s="20" t="s">
        <v>272</v>
      </c>
      <c r="F99" s="21">
        <v>5</v>
      </c>
      <c r="G99" s="22">
        <v>12</v>
      </c>
      <c r="H99" s="23">
        <f>F99 * G99 * 48.99414</f>
        <v>2939.6484</v>
      </c>
      <c r="I99" s="23">
        <f t="shared" si="13"/>
        <v>0</v>
      </c>
      <c r="J99" s="23">
        <f t="shared" si="14"/>
        <v>0</v>
      </c>
      <c r="K99" s="23">
        <f>F99 * G99 * 46.65222</f>
        <v>2799.1332000000002</v>
      </c>
      <c r="L99" s="23">
        <f>F99 * G99 * 11.124467</f>
        <v>667.46801999999991</v>
      </c>
      <c r="M99" s="23">
        <f>F99 * G99 * 9.798828</f>
        <v>587.92967999999996</v>
      </c>
      <c r="N99" s="24">
        <f t="shared" si="15"/>
        <v>6994.1793000000007</v>
      </c>
      <c r="O99" s="25">
        <f>IF(O3&gt;0,N99/O3/12,0)</f>
        <v>6.1705143610320042E-2</v>
      </c>
    </row>
    <row r="100" spans="2:15" ht="27.6" x14ac:dyDescent="0.3">
      <c r="B100" s="18">
        <v>83</v>
      </c>
      <c r="C100" s="19" t="s">
        <v>273</v>
      </c>
      <c r="D100" s="20" t="s">
        <v>274</v>
      </c>
      <c r="E100" s="20" t="s">
        <v>275</v>
      </c>
      <c r="F100" s="21">
        <v>5</v>
      </c>
      <c r="G100" s="22">
        <v>12</v>
      </c>
      <c r="H100" s="23">
        <f>F100 * G100 * 66.03558</f>
        <v>3962.1347999999998</v>
      </c>
      <c r="I100" s="23">
        <f t="shared" si="13"/>
        <v>0</v>
      </c>
      <c r="J100" s="23">
        <f t="shared" si="14"/>
        <v>0</v>
      </c>
      <c r="K100" s="23">
        <f>F100 * G100 * 62.879079</f>
        <v>3772.7447399999996</v>
      </c>
      <c r="L100" s="23">
        <f>F100 * G100 * 14.993847</f>
        <v>899.63082000000009</v>
      </c>
      <c r="M100" s="23">
        <f>F100 * G100 * 13.207116</f>
        <v>792.42696000000001</v>
      </c>
      <c r="N100" s="24">
        <f t="shared" si="15"/>
        <v>9426.9373200000009</v>
      </c>
      <c r="O100" s="25">
        <f>IF(O3&gt;0,N100/O3/12,0)</f>
        <v>8.3167802280402728E-2</v>
      </c>
    </row>
    <row r="101" spans="2:15" ht="27.6" x14ac:dyDescent="0.3">
      <c r="B101" s="18">
        <v>84</v>
      </c>
      <c r="C101" s="19" t="s">
        <v>276</v>
      </c>
      <c r="D101" s="20" t="s">
        <v>277</v>
      </c>
      <c r="E101" s="20" t="s">
        <v>269</v>
      </c>
      <c r="F101" s="21">
        <v>5</v>
      </c>
      <c r="G101" s="22">
        <v>12</v>
      </c>
      <c r="H101" s="23">
        <f>F101 * G101 * 10.6509</f>
        <v>639.05399999999997</v>
      </c>
      <c r="I101" s="23">
        <f t="shared" si="13"/>
        <v>0</v>
      </c>
      <c r="J101" s="23">
        <f t="shared" si="14"/>
        <v>0</v>
      </c>
      <c r="K101" s="23">
        <f>F101 * G101 * 10.141787</f>
        <v>608.50722000000007</v>
      </c>
      <c r="L101" s="23">
        <f>F101 * G101 * 2.418362</f>
        <v>145.10172</v>
      </c>
      <c r="M101" s="23">
        <f>F101 * G101 * 2.13018</f>
        <v>127.81080000000001</v>
      </c>
      <c r="N101" s="24">
        <f t="shared" si="15"/>
        <v>1520.4737400000001</v>
      </c>
      <c r="O101" s="25">
        <f>IF(O3&gt;0,N101/O3/12,0)</f>
        <v>1.3414161470298655E-2</v>
      </c>
    </row>
    <row r="102" spans="2:15" x14ac:dyDescent="0.3">
      <c r="B102" s="18">
        <v>85</v>
      </c>
      <c r="C102" s="19" t="s">
        <v>278</v>
      </c>
      <c r="D102" s="20" t="s">
        <v>279</v>
      </c>
      <c r="E102" s="20" t="s">
        <v>269</v>
      </c>
      <c r="F102" s="21">
        <v>5</v>
      </c>
      <c r="G102" s="22">
        <v>12</v>
      </c>
      <c r="H102" s="23">
        <f>F102 * G102 * 44.73378</f>
        <v>2684.0268000000001</v>
      </c>
      <c r="I102" s="23">
        <f t="shared" si="13"/>
        <v>0</v>
      </c>
      <c r="J102" s="23">
        <f t="shared" si="14"/>
        <v>0</v>
      </c>
      <c r="K102" s="23">
        <f>F102 * G102 * 42.595505</f>
        <v>2555.7303000000002</v>
      </c>
      <c r="L102" s="23">
        <f>F102 * G102 * 10.157122</f>
        <v>609.42732000000001</v>
      </c>
      <c r="M102" s="23">
        <f>F102 * G102 * 8.946756</f>
        <v>536.80536000000006</v>
      </c>
      <c r="N102" s="24">
        <f t="shared" si="15"/>
        <v>6385.9897800000008</v>
      </c>
      <c r="O102" s="25">
        <f>IF(O3&gt;0,N102/O3/12,0)</f>
        <v>5.6339478810464028E-2</v>
      </c>
    </row>
    <row r="103" spans="2:15" x14ac:dyDescent="0.3">
      <c r="B103" s="18">
        <v>86</v>
      </c>
      <c r="C103" s="19" t="s">
        <v>280</v>
      </c>
      <c r="D103" s="20" t="s">
        <v>281</v>
      </c>
      <c r="E103" s="20" t="s">
        <v>282</v>
      </c>
      <c r="F103" s="21">
        <v>45</v>
      </c>
      <c r="G103" s="22">
        <v>12</v>
      </c>
      <c r="H103" s="23">
        <f>F103 * G103 * 27.69234</f>
        <v>14953.863600000001</v>
      </c>
      <c r="I103" s="23">
        <f t="shared" si="13"/>
        <v>0</v>
      </c>
      <c r="J103" s="23">
        <f t="shared" si="14"/>
        <v>0</v>
      </c>
      <c r="K103" s="23">
        <f>F103 * G103 * 26.368646</f>
        <v>14239.06884</v>
      </c>
      <c r="L103" s="23">
        <f>F103 * G103 * 6.287742</f>
        <v>3395.3806799999998</v>
      </c>
      <c r="M103" s="23">
        <f>F103 * G103 * 5.538468</f>
        <v>2990.7727199999999</v>
      </c>
      <c r="N103" s="24">
        <f t="shared" si="15"/>
        <v>35579.08584</v>
      </c>
      <c r="O103" s="25">
        <f>IF(O3&gt;0,N103/O3/12,0)</f>
        <v>0.31389138126343202</v>
      </c>
    </row>
    <row r="104" spans="2:15" x14ac:dyDescent="0.3">
      <c r="B104" s="18">
        <v>87</v>
      </c>
      <c r="C104" s="19" t="s">
        <v>283</v>
      </c>
      <c r="D104" s="20" t="s">
        <v>284</v>
      </c>
      <c r="E104" s="20" t="s">
        <v>282</v>
      </c>
      <c r="F104" s="21">
        <v>45</v>
      </c>
      <c r="G104" s="22">
        <v>12</v>
      </c>
      <c r="H104" s="23">
        <f>F104 * G104 * 14.91126</f>
        <v>8052.0803999999998</v>
      </c>
      <c r="I104" s="23">
        <f t="shared" si="13"/>
        <v>0</v>
      </c>
      <c r="J104" s="23">
        <f t="shared" si="14"/>
        <v>0</v>
      </c>
      <c r="K104" s="23">
        <f>F104 * G104 * 14.198502</f>
        <v>7667.1910799999996</v>
      </c>
      <c r="L104" s="23">
        <f>F104 * G104 * 3.385707</f>
        <v>1828.28178</v>
      </c>
      <c r="M104" s="23">
        <f>F104 * G104 * 2.982252</f>
        <v>1610.41608</v>
      </c>
      <c r="N104" s="24">
        <f t="shared" si="15"/>
        <v>19157.96934</v>
      </c>
      <c r="O104" s="25">
        <f>IF(O3&gt;0,N104/O3/12,0)</f>
        <v>0.16901843643139206</v>
      </c>
    </row>
    <row r="105" spans="2:15" ht="27.6" x14ac:dyDescent="0.3">
      <c r="B105" s="18">
        <v>88</v>
      </c>
      <c r="C105" s="19" t="s">
        <v>285</v>
      </c>
      <c r="D105" s="20" t="s">
        <v>286</v>
      </c>
      <c r="E105" s="20" t="s">
        <v>282</v>
      </c>
      <c r="F105" s="21">
        <v>45</v>
      </c>
      <c r="G105" s="22">
        <v>12</v>
      </c>
      <c r="H105" s="23">
        <f>F105 * G105 * 14.91126</f>
        <v>8052.0803999999998</v>
      </c>
      <c r="I105" s="23">
        <f t="shared" si="13"/>
        <v>0</v>
      </c>
      <c r="J105" s="23">
        <f t="shared" si="14"/>
        <v>0</v>
      </c>
      <c r="K105" s="23">
        <f>F105 * G105 * 14.198502</f>
        <v>7667.1910799999996</v>
      </c>
      <c r="L105" s="23">
        <f>F105 * G105 * 3.385707</f>
        <v>1828.28178</v>
      </c>
      <c r="M105" s="23">
        <f>F105 * G105 * 2.982252</f>
        <v>1610.41608</v>
      </c>
      <c r="N105" s="24">
        <f t="shared" si="15"/>
        <v>19157.96934</v>
      </c>
      <c r="O105" s="25">
        <f>IF(O3&gt;0,N105/O3/12,0)</f>
        <v>0.16901843643139206</v>
      </c>
    </row>
    <row r="106" spans="2:15" x14ac:dyDescent="0.3">
      <c r="B106" s="18">
        <v>89</v>
      </c>
      <c r="C106" s="19" t="s">
        <v>287</v>
      </c>
      <c r="D106" s="20" t="s">
        <v>288</v>
      </c>
      <c r="E106" s="20" t="s">
        <v>289</v>
      </c>
      <c r="F106" s="21">
        <v>5</v>
      </c>
      <c r="G106" s="22">
        <v>12</v>
      </c>
      <c r="H106" s="23">
        <f>F106 * G106 * 48.99414</f>
        <v>2939.6484</v>
      </c>
      <c r="I106" s="23">
        <f t="shared" si="13"/>
        <v>0</v>
      </c>
      <c r="J106" s="23">
        <f t="shared" si="14"/>
        <v>0</v>
      </c>
      <c r="K106" s="23">
        <f>F106 * G106 * 46.65222</f>
        <v>2799.1332000000002</v>
      </c>
      <c r="L106" s="23">
        <f>F106 * G106 * 11.124467</f>
        <v>667.46801999999991</v>
      </c>
      <c r="M106" s="23">
        <f>F106 * G106 * 9.798828</f>
        <v>587.92967999999996</v>
      </c>
      <c r="N106" s="24">
        <f t="shared" si="15"/>
        <v>6994.1793000000007</v>
      </c>
      <c r="O106" s="25">
        <f>IF(O3&gt;0,N106/O3/12,0)</f>
        <v>6.1705143610320042E-2</v>
      </c>
    </row>
    <row r="107" spans="2:15" ht="27.6" x14ac:dyDescent="0.3">
      <c r="B107" s="18">
        <v>90</v>
      </c>
      <c r="C107" s="19" t="s">
        <v>290</v>
      </c>
      <c r="D107" s="20" t="s">
        <v>291</v>
      </c>
      <c r="E107" s="20" t="s">
        <v>292</v>
      </c>
      <c r="F107" s="21">
        <v>5</v>
      </c>
      <c r="G107" s="22">
        <v>12</v>
      </c>
      <c r="H107" s="23">
        <f>F107 * G107 * 560.204568</f>
        <v>33612.274080000003</v>
      </c>
      <c r="I107" s="23">
        <f t="shared" si="13"/>
        <v>0</v>
      </c>
      <c r="J107" s="23">
        <f t="shared" si="14"/>
        <v>0</v>
      </c>
      <c r="K107" s="23">
        <f>F107 * G107 * 533.426789</f>
        <v>32005.607339999999</v>
      </c>
      <c r="L107" s="23">
        <f>F107 * G107 * 127.198424</f>
        <v>7631.9054400000005</v>
      </c>
      <c r="M107" s="23">
        <f>F107 * G107 * 112.040914</f>
        <v>6722.4548400000003</v>
      </c>
      <c r="N107" s="24">
        <f t="shared" si="15"/>
        <v>79972.241700000013</v>
      </c>
      <c r="O107" s="25">
        <f>IF(O3&gt;0,N107/O3/12,0)</f>
        <v>0.70554363096435424</v>
      </c>
    </row>
    <row r="108" spans="2:15" x14ac:dyDescent="0.3">
      <c r="B108" s="18">
        <v>91</v>
      </c>
      <c r="C108" s="19" t="s">
        <v>293</v>
      </c>
      <c r="D108" s="20" t="s">
        <v>294</v>
      </c>
      <c r="E108" s="20" t="s">
        <v>269</v>
      </c>
      <c r="F108" s="21">
        <v>5</v>
      </c>
      <c r="G108" s="22">
        <v>12</v>
      </c>
      <c r="H108" s="23">
        <f>F108 * G108 * 141.943725</f>
        <v>8516.6234999999997</v>
      </c>
      <c r="I108" s="23">
        <f t="shared" si="13"/>
        <v>0</v>
      </c>
      <c r="J108" s="23">
        <f t="shared" si="14"/>
        <v>0</v>
      </c>
      <c r="K108" s="23">
        <f>F108 * G108 * 135.158815</f>
        <v>8109.5289000000002</v>
      </c>
      <c r="L108" s="23">
        <f>F108 * G108 * 32.22933</f>
        <v>1933.7597999999998</v>
      </c>
      <c r="M108" s="23">
        <f>F108 * G108 * 28.388745</f>
        <v>1703.3247000000001</v>
      </c>
      <c r="N108" s="24">
        <f t="shared" si="15"/>
        <v>20263.2369</v>
      </c>
      <c r="O108" s="25">
        <f>IF(O3&gt;0,N108/O3/12,0)</f>
        <v>0.17876950093693425</v>
      </c>
    </row>
    <row r="109" spans="2:15" x14ac:dyDescent="0.3">
      <c r="B109" s="18">
        <v>92</v>
      </c>
      <c r="C109" s="19" t="s">
        <v>295</v>
      </c>
      <c r="D109" s="20" t="s">
        <v>296</v>
      </c>
      <c r="E109" s="20" t="s">
        <v>282</v>
      </c>
      <c r="F109" s="21">
        <v>45</v>
      </c>
      <c r="G109" s="22">
        <v>12</v>
      </c>
      <c r="H109" s="23">
        <f>F109 * G109 * 80.307786</f>
        <v>43366.204439999994</v>
      </c>
      <c r="I109" s="23">
        <f t="shared" si="13"/>
        <v>0</v>
      </c>
      <c r="J109" s="23">
        <f t="shared" si="14"/>
        <v>0</v>
      </c>
      <c r="K109" s="23">
        <f>F109 * G109 * 76.469074</f>
        <v>41293.299960000004</v>
      </c>
      <c r="L109" s="23">
        <f>F109 * G109 * 18.234453</f>
        <v>9846.6046200000001</v>
      </c>
      <c r="M109" s="23">
        <f>F109 * G109 * 16.061557</f>
        <v>8673.2407800000001</v>
      </c>
      <c r="N109" s="24">
        <f t="shared" si="15"/>
        <v>103179.3498</v>
      </c>
      <c r="O109" s="25">
        <f>IF(O3&gt;0,N109/O3/12,0)</f>
        <v>0.91028501328646882</v>
      </c>
    </row>
    <row r="110" spans="2:15" x14ac:dyDescent="0.3">
      <c r="B110" s="18">
        <v>93</v>
      </c>
      <c r="C110" s="19" t="s">
        <v>297</v>
      </c>
      <c r="D110" s="20" t="s">
        <v>298</v>
      </c>
      <c r="E110" s="20" t="s">
        <v>282</v>
      </c>
      <c r="F110" s="21">
        <v>45</v>
      </c>
      <c r="G110" s="22">
        <v>12</v>
      </c>
      <c r="H110" s="23">
        <f>F110 * G110 * 278.545614</f>
        <v>150414.63156000001</v>
      </c>
      <c r="I110" s="23">
        <f t="shared" si="13"/>
        <v>0</v>
      </c>
      <c r="J110" s="23">
        <f t="shared" si="14"/>
        <v>0</v>
      </c>
      <c r="K110" s="23">
        <f>F110 * G110 * 265.231134</f>
        <v>143224.81236000001</v>
      </c>
      <c r="L110" s="23">
        <f>F110 * G110 * 63.245759</f>
        <v>34152.709860000003</v>
      </c>
      <c r="M110" s="23">
        <f>F110 * G110 * 55.709123</f>
        <v>30082.92642</v>
      </c>
      <c r="N110" s="24">
        <f t="shared" si="15"/>
        <v>357875.08019999997</v>
      </c>
      <c r="O110" s="25">
        <f>IF(O3&gt;0,N110/O3/12,0)</f>
        <v>3.1573015604984271</v>
      </c>
    </row>
    <row r="111" spans="2:15" x14ac:dyDescent="0.3">
      <c r="B111" s="18">
        <v>94</v>
      </c>
      <c r="C111" s="19" t="s">
        <v>299</v>
      </c>
      <c r="D111" s="20" t="s">
        <v>300</v>
      </c>
      <c r="E111" s="20" t="s">
        <v>282</v>
      </c>
      <c r="F111" s="21">
        <v>45</v>
      </c>
      <c r="G111" s="22">
        <v>12</v>
      </c>
      <c r="H111" s="23">
        <f>F111 * G111 * 189.356616</f>
        <v>102252.57264</v>
      </c>
      <c r="I111" s="23">
        <f t="shared" si="13"/>
        <v>0</v>
      </c>
      <c r="J111" s="23">
        <f t="shared" si="14"/>
        <v>0</v>
      </c>
      <c r="K111" s="23">
        <f>F111 * G111 * 180.305368999999</f>
        <v>97364.899259999453</v>
      </c>
      <c r="L111" s="23">
        <f>F111 * G111 * 42.994765</f>
        <v>23217.1731</v>
      </c>
      <c r="M111" s="23">
        <f>F111 * G111 * 37.871323</f>
        <v>20450.51442</v>
      </c>
      <c r="N111" s="24">
        <f t="shared" si="15"/>
        <v>243285.15941999943</v>
      </c>
      <c r="O111" s="25">
        <f>IF(O3&gt;0,N111/O3/12,0)</f>
        <v>2.1463484215039594</v>
      </c>
    </row>
    <row r="112" spans="2:15" x14ac:dyDescent="0.3">
      <c r="B112" s="18">
        <v>95</v>
      </c>
      <c r="C112" s="19" t="s">
        <v>301</v>
      </c>
      <c r="D112" s="20" t="s">
        <v>302</v>
      </c>
      <c r="E112" s="20" t="s">
        <v>303</v>
      </c>
      <c r="F112" s="21">
        <v>5</v>
      </c>
      <c r="G112" s="22">
        <v>12</v>
      </c>
      <c r="H112" s="23">
        <f>F112 * G112 * 259.767258</f>
        <v>15586.035480000002</v>
      </c>
      <c r="I112" s="23">
        <f t="shared" si="13"/>
        <v>0</v>
      </c>
      <c r="J112" s="23">
        <f t="shared" si="14"/>
        <v>0</v>
      </c>
      <c r="K112" s="23">
        <f>F112 * G112 * 247.350383</f>
        <v>14841.02298</v>
      </c>
      <c r="L112" s="23">
        <f>F112 * G112 * 58.982</f>
        <v>3538.92</v>
      </c>
      <c r="M112" s="23">
        <f>F112 * G112 * 51.953452</f>
        <v>3117.20712</v>
      </c>
      <c r="N112" s="24">
        <f t="shared" si="15"/>
        <v>37083.185579999998</v>
      </c>
      <c r="O112" s="25">
        <f>IF(O3&gt;0,N112/O3/12,0)</f>
        <v>0.32716108546746131</v>
      </c>
    </row>
    <row r="113" spans="2:15" x14ac:dyDescent="0.3">
      <c r="B113" s="18">
        <v>96</v>
      </c>
      <c r="C113" s="19" t="s">
        <v>304</v>
      </c>
      <c r="D113" s="20" t="s">
        <v>305</v>
      </c>
      <c r="E113" s="20" t="s">
        <v>306</v>
      </c>
      <c r="F113" s="21">
        <v>5</v>
      </c>
      <c r="G113" s="22">
        <v>12</v>
      </c>
      <c r="H113" s="23">
        <f>F113 * G113 * 231.435864</f>
        <v>13886.15184</v>
      </c>
      <c r="I113" s="23">
        <f t="shared" si="13"/>
        <v>0</v>
      </c>
      <c r="J113" s="23">
        <f t="shared" si="14"/>
        <v>0</v>
      </c>
      <c r="K113" s="23">
        <f>F113 * G113 * 220.37323</f>
        <v>13222.3938</v>
      </c>
      <c r="L113" s="23">
        <f>F113 * G113 * 52.549156</f>
        <v>3152.9493600000001</v>
      </c>
      <c r="M113" s="23">
        <f>F113 * G113 * 46.287173</f>
        <v>2777.23038</v>
      </c>
      <c r="N113" s="24">
        <f t="shared" si="15"/>
        <v>33038.725379999996</v>
      </c>
      <c r="O113" s="25">
        <f>IF(O3&gt;0,N113/O3/12,0)</f>
        <v>0.2914794155012333</v>
      </c>
    </row>
    <row r="114" spans="2:15" x14ac:dyDescent="0.3">
      <c r="B114" s="18">
        <v>97</v>
      </c>
      <c r="C114" s="19" t="s">
        <v>307</v>
      </c>
      <c r="D114" s="20" t="s">
        <v>308</v>
      </c>
      <c r="E114" s="20" t="s">
        <v>309</v>
      </c>
      <c r="F114" s="21">
        <v>5</v>
      </c>
      <c r="G114" s="22">
        <v>12</v>
      </c>
      <c r="H114" s="23">
        <f>F114 * G114 * 89.418402</f>
        <v>5365.10412</v>
      </c>
      <c r="I114" s="23">
        <f t="shared" si="13"/>
        <v>0</v>
      </c>
      <c r="J114" s="23">
        <f t="shared" si="14"/>
        <v>0</v>
      </c>
      <c r="K114" s="23">
        <f>F114 * G114 * 85.144202</f>
        <v>5108.6521200000007</v>
      </c>
      <c r="L114" s="23">
        <f>F114 * G114 * 20.303083</f>
        <v>1218.18498</v>
      </c>
      <c r="M114" s="23">
        <f>F114 * G114 * 17.88368</f>
        <v>1073.0207999999998</v>
      </c>
      <c r="N114" s="24">
        <f t="shared" si="15"/>
        <v>12764.962020000001</v>
      </c>
      <c r="O114" s="25">
        <f>IF(O3&gt;0,N114/O3/12,0)</f>
        <v>0.11261704638089289</v>
      </c>
    </row>
    <row r="115" spans="2:15" x14ac:dyDescent="0.3">
      <c r="B115" s="18">
        <v>98</v>
      </c>
      <c r="C115" s="19" t="s">
        <v>310</v>
      </c>
      <c r="D115" s="20" t="s">
        <v>311</v>
      </c>
      <c r="E115" s="20" t="s">
        <v>312</v>
      </c>
      <c r="F115" s="21">
        <v>5</v>
      </c>
      <c r="G115" s="22">
        <v>12</v>
      </c>
      <c r="H115" s="23">
        <f>F115 * G115 * 13.149765</f>
        <v>788.98590000000002</v>
      </c>
      <c r="I115" s="23">
        <f t="shared" si="13"/>
        <v>0</v>
      </c>
      <c r="J115" s="23">
        <f t="shared" si="14"/>
        <v>0</v>
      </c>
      <c r="K115" s="23">
        <f>F115 * G115 * 12.521206</f>
        <v>751.27235999999994</v>
      </c>
      <c r="L115" s="23">
        <f>F115 * G115 * 2.985748</f>
        <v>179.14488</v>
      </c>
      <c r="M115" s="23">
        <f>F115 * G115 * 2.629953</f>
        <v>157.79718</v>
      </c>
      <c r="N115" s="24">
        <f t="shared" si="15"/>
        <v>1877.2003200000001</v>
      </c>
      <c r="O115" s="25">
        <f>IF(O3&gt;0,N115/O3/12,0)</f>
        <v>1.6561330552526548E-2</v>
      </c>
    </row>
    <row r="116" spans="2:15" x14ac:dyDescent="0.3">
      <c r="B116" s="18">
        <v>99</v>
      </c>
      <c r="C116" s="19" t="s">
        <v>313</v>
      </c>
      <c r="D116" s="20" t="s">
        <v>314</v>
      </c>
      <c r="E116" s="20" t="s">
        <v>315</v>
      </c>
      <c r="F116" s="21">
        <v>5</v>
      </c>
      <c r="G116" s="22">
        <v>12</v>
      </c>
      <c r="H116" s="23">
        <f>F116 * G116 * 227.10996</f>
        <v>13626.597600000001</v>
      </c>
      <c r="I116" s="23">
        <f t="shared" si="13"/>
        <v>0</v>
      </c>
      <c r="J116" s="23">
        <f t="shared" si="14"/>
        <v>0</v>
      </c>
      <c r="K116" s="23">
        <f>F116 * G116 * 216.254104</f>
        <v>12975.24624</v>
      </c>
      <c r="L116" s="23">
        <f>F116 * G116 * 51.566929</f>
        <v>3094.0157400000003</v>
      </c>
      <c r="M116" s="23">
        <f>F116 * G116 * 45.421992</f>
        <v>2725.31952</v>
      </c>
      <c r="N116" s="24">
        <f t="shared" si="15"/>
        <v>32421.179100000001</v>
      </c>
      <c r="O116" s="25">
        <f>IF(O3&gt;0,N116/O3/12,0)</f>
        <v>0.28603120202843618</v>
      </c>
    </row>
    <row r="117" spans="2:15" x14ac:dyDescent="0.3">
      <c r="B117" s="18">
        <v>100</v>
      </c>
      <c r="C117" s="19" t="s">
        <v>316</v>
      </c>
      <c r="D117" s="20" t="s">
        <v>317</v>
      </c>
      <c r="E117" s="20" t="s">
        <v>318</v>
      </c>
      <c r="F117" s="21">
        <v>5</v>
      </c>
      <c r="G117" s="22">
        <v>12</v>
      </c>
      <c r="H117" s="23">
        <f>F117 * G117 * 30.461574</f>
        <v>1827.69444</v>
      </c>
      <c r="I117" s="23">
        <f t="shared" si="13"/>
        <v>0</v>
      </c>
      <c r="J117" s="23">
        <f t="shared" si="14"/>
        <v>0</v>
      </c>
      <c r="K117" s="23">
        <f>F117 * G117 * 29.005511</f>
        <v>1740.3306599999999</v>
      </c>
      <c r="L117" s="23">
        <f>F117 * G117 * 6.916517</f>
        <v>414.99101999999999</v>
      </c>
      <c r="M117" s="23">
        <f>F117 * G117 * 6.092315</f>
        <v>365.53890000000001</v>
      </c>
      <c r="N117" s="24">
        <f t="shared" si="15"/>
        <v>4348.5550199999998</v>
      </c>
      <c r="O117" s="25">
        <f>IF(O3&gt;0,N117/O3/12,0)</f>
        <v>3.8364502895497414E-2</v>
      </c>
    </row>
    <row r="118" spans="2:15" x14ac:dyDescent="0.3">
      <c r="B118" s="18">
        <v>101</v>
      </c>
      <c r="C118" s="19" t="s">
        <v>319</v>
      </c>
      <c r="D118" s="20" t="s">
        <v>320</v>
      </c>
      <c r="E118" s="20" t="s">
        <v>318</v>
      </c>
      <c r="F118" s="21">
        <v>5</v>
      </c>
      <c r="G118" s="22">
        <v>12</v>
      </c>
      <c r="H118" s="23">
        <f>F118 * G118 * 165.562505</f>
        <v>9933.7502999999997</v>
      </c>
      <c r="I118" s="23">
        <f t="shared" si="13"/>
        <v>0</v>
      </c>
      <c r="J118" s="23">
        <f t="shared" si="14"/>
        <v>0</v>
      </c>
      <c r="K118" s="23">
        <f>F118 * G118 * 157.648617</f>
        <v>9458.9170200000008</v>
      </c>
      <c r="L118" s="23">
        <f>F118 * G118 * 37.592142</f>
        <v>2255.5285200000003</v>
      </c>
      <c r="M118" s="23">
        <f>F118 * G118 * 33.112501</f>
        <v>1986.7500600000001</v>
      </c>
      <c r="N118" s="24">
        <f t="shared" si="15"/>
        <v>23634.945899999999</v>
      </c>
      <c r="O118" s="25">
        <f>IF(O3&gt;0,N118/O3/12,0)</f>
        <v>0.20851591994240762</v>
      </c>
    </row>
    <row r="119" spans="2:15" x14ac:dyDescent="0.3">
      <c r="B119" s="18">
        <v>102</v>
      </c>
      <c r="C119" s="19" t="s">
        <v>321</v>
      </c>
      <c r="D119" s="20" t="s">
        <v>322</v>
      </c>
      <c r="E119" s="20" t="s">
        <v>272</v>
      </c>
      <c r="F119" s="21">
        <v>5</v>
      </c>
      <c r="G119" s="22">
        <v>12</v>
      </c>
      <c r="H119" s="23">
        <f>F119 * G119 * 268.255206</f>
        <v>16095.31236</v>
      </c>
      <c r="I119" s="23">
        <f t="shared" si="13"/>
        <v>0</v>
      </c>
      <c r="J119" s="23">
        <f t="shared" si="14"/>
        <v>0</v>
      </c>
      <c r="K119" s="23">
        <f>F119 * G119 * 255.432607</f>
        <v>15325.956419999999</v>
      </c>
      <c r="L119" s="23">
        <f>F119 * G119 * 60.9092489999999</f>
        <v>3654.5549399999941</v>
      </c>
      <c r="M119" s="23">
        <f>F119 * G119 * 53.651041</f>
        <v>3219.0624600000001</v>
      </c>
      <c r="N119" s="24">
        <f t="shared" si="15"/>
        <v>38294.886179999994</v>
      </c>
      <c r="O119" s="25">
        <f>IF(O3&gt;0,N119/O3/12,0)</f>
        <v>0.33785114020136137</v>
      </c>
    </row>
    <row r="120" spans="2:15" x14ac:dyDescent="0.3">
      <c r="B120" s="18">
        <v>103</v>
      </c>
      <c r="C120" s="19" t="s">
        <v>323</v>
      </c>
      <c r="D120" s="20" t="s">
        <v>324</v>
      </c>
      <c r="E120" s="20" t="s">
        <v>272</v>
      </c>
      <c r="F120" s="21">
        <v>5</v>
      </c>
      <c r="G120" s="22">
        <v>12</v>
      </c>
      <c r="H120" s="23">
        <f>F120 * G120 * 176.206851</f>
        <v>10572.41106</v>
      </c>
      <c r="I120" s="23">
        <f t="shared" si="13"/>
        <v>0</v>
      </c>
      <c r="J120" s="23">
        <f t="shared" si="14"/>
        <v>0</v>
      </c>
      <c r="K120" s="23">
        <f>F120 * G120 * 167.784163</f>
        <v>10067.049780000001</v>
      </c>
      <c r="L120" s="23">
        <f>F120 * G120 * 40.009017</f>
        <v>2400.5410200000001</v>
      </c>
      <c r="M120" s="23">
        <f>F120 * G120 * 35.24137</f>
        <v>2114.4822000000004</v>
      </c>
      <c r="N120" s="24">
        <f t="shared" si="15"/>
        <v>25154.484060000003</v>
      </c>
      <c r="O120" s="25">
        <f>IF(O3&gt;0,N120/O3/12,0)</f>
        <v>0.22192182739235844</v>
      </c>
    </row>
    <row r="121" spans="2:15" x14ac:dyDescent="0.3">
      <c r="B121" s="18">
        <v>104</v>
      </c>
      <c r="C121" s="19" t="s">
        <v>325</v>
      </c>
      <c r="D121" s="20" t="s">
        <v>326</v>
      </c>
      <c r="E121" s="20" t="s">
        <v>272</v>
      </c>
      <c r="F121" s="21">
        <v>5</v>
      </c>
      <c r="G121" s="22">
        <v>12</v>
      </c>
      <c r="H121" s="23">
        <f>F121 * G121 * 89.418402</f>
        <v>5365.10412</v>
      </c>
      <c r="I121" s="23">
        <f t="shared" si="13"/>
        <v>0</v>
      </c>
      <c r="J121" s="23">
        <f t="shared" si="14"/>
        <v>0</v>
      </c>
      <c r="K121" s="23">
        <f>F121 * G121 * 85.144202</f>
        <v>5108.6521200000007</v>
      </c>
      <c r="L121" s="23">
        <f>F121 * G121 * 20.303083</f>
        <v>1218.18498</v>
      </c>
      <c r="M121" s="23">
        <f>F121 * G121 * 17.88368</f>
        <v>1073.0207999999998</v>
      </c>
      <c r="N121" s="24">
        <f t="shared" si="15"/>
        <v>12764.962020000001</v>
      </c>
      <c r="O121" s="25">
        <f>IF(O3&gt;0,N121/O3/12,0)</f>
        <v>0.11261704638089289</v>
      </c>
    </row>
    <row r="122" spans="2:15" x14ac:dyDescent="0.3">
      <c r="B122" s="18">
        <v>105</v>
      </c>
      <c r="C122" s="19" t="s">
        <v>327</v>
      </c>
      <c r="D122" s="20" t="s">
        <v>328</v>
      </c>
      <c r="E122" s="20" t="s">
        <v>329</v>
      </c>
      <c r="F122" s="21">
        <v>5</v>
      </c>
      <c r="G122" s="22">
        <v>12</v>
      </c>
      <c r="H122" s="23">
        <f>F122 * G122 * 215.951094</f>
        <v>12957.065640000001</v>
      </c>
      <c r="I122" s="23">
        <f t="shared" si="13"/>
        <v>0</v>
      </c>
      <c r="J122" s="23">
        <f t="shared" si="14"/>
        <v>0</v>
      </c>
      <c r="K122" s="23">
        <f>F122 * G122 * 205.628631999999</f>
        <v>12337.717919999939</v>
      </c>
      <c r="L122" s="23">
        <f>F122 * G122 * 49.033229</f>
        <v>2941.9937399999999</v>
      </c>
      <c r="M122" s="23">
        <f>F122 * G122 * 43.190219</f>
        <v>2591.4131400000001</v>
      </c>
      <c r="N122" s="24">
        <f t="shared" si="15"/>
        <v>30828.190439999937</v>
      </c>
      <c r="O122" s="25">
        <f>IF(O3&gt;0,N122/O3/12,0)</f>
        <v>0.27197728807817256</v>
      </c>
    </row>
    <row r="123" spans="2:15" x14ac:dyDescent="0.3">
      <c r="B123" s="18">
        <v>106</v>
      </c>
      <c r="C123" s="19" t="s">
        <v>330</v>
      </c>
      <c r="D123" s="20" t="s">
        <v>331</v>
      </c>
      <c r="E123" s="20" t="s">
        <v>124</v>
      </c>
      <c r="F123" s="21">
        <v>5</v>
      </c>
      <c r="G123" s="22">
        <v>12</v>
      </c>
      <c r="H123" s="23">
        <f>F123 * G123 * 410.272668</f>
        <v>24616.360080000002</v>
      </c>
      <c r="I123" s="23">
        <f t="shared" si="13"/>
        <v>0</v>
      </c>
      <c r="J123" s="23">
        <f t="shared" si="14"/>
        <v>0</v>
      </c>
      <c r="K123" s="23">
        <f>F123 * G123 * 390.661634</f>
        <v>23439.698039999999</v>
      </c>
      <c r="L123" s="23">
        <f>F123 * G123 * 93.155322</f>
        <v>5589.3193199999996</v>
      </c>
      <c r="M123" s="23">
        <f>F123 * G123 * 82.054534</f>
        <v>4923.2720399999998</v>
      </c>
      <c r="N123" s="24">
        <f t="shared" si="15"/>
        <v>58568.649480000007</v>
      </c>
      <c r="O123" s="25">
        <f>IF(O3&gt;0,N123/O3/12,0)</f>
        <v>0.51671350879236055</v>
      </c>
    </row>
    <row r="124" spans="2:15" x14ac:dyDescent="0.3">
      <c r="B124" s="18">
        <v>107</v>
      </c>
      <c r="C124" s="19" t="s">
        <v>332</v>
      </c>
      <c r="D124" s="20" t="s">
        <v>333</v>
      </c>
      <c r="E124" s="20" t="s">
        <v>334</v>
      </c>
      <c r="F124" s="21">
        <v>10</v>
      </c>
      <c r="G124" s="22">
        <v>12</v>
      </c>
      <c r="H124" s="23">
        <f>F124 * G124 * 88.615488</f>
        <v>10633.858560000001</v>
      </c>
      <c r="I124" s="23">
        <f t="shared" si="13"/>
        <v>0</v>
      </c>
      <c r="J124" s="23">
        <f t="shared" si="14"/>
        <v>0</v>
      </c>
      <c r="K124" s="23">
        <f>F124 * G124 * 84.379667</f>
        <v>10125.56004</v>
      </c>
      <c r="L124" s="23">
        <f>F124 * G124 * 20.120775</f>
        <v>2414.4929999999999</v>
      </c>
      <c r="M124" s="23">
        <f>F124 * G124 * 17.723098</f>
        <v>2126.7717600000001</v>
      </c>
      <c r="N124" s="24">
        <f t="shared" si="15"/>
        <v>25300.683359999999</v>
      </c>
      <c r="O124" s="25">
        <f>IF(O3&gt;0,N124/O3/12,0)</f>
        <v>0.22321164974538676</v>
      </c>
    </row>
    <row r="125" spans="2:15" x14ac:dyDescent="0.3">
      <c r="B125" s="18">
        <v>108</v>
      </c>
      <c r="C125" s="19" t="s">
        <v>335</v>
      </c>
      <c r="D125" s="20" t="s">
        <v>336</v>
      </c>
      <c r="E125" s="20" t="s">
        <v>337</v>
      </c>
      <c r="F125" s="21">
        <v>10</v>
      </c>
      <c r="G125" s="22">
        <v>12</v>
      </c>
      <c r="H125" s="23">
        <f>F125 * G125 * 24.923106</f>
        <v>2990.7727199999999</v>
      </c>
      <c r="I125" s="23">
        <f t="shared" si="13"/>
        <v>0</v>
      </c>
      <c r="J125" s="23">
        <f t="shared" si="14"/>
        <v>0</v>
      </c>
      <c r="K125" s="23">
        <f>F125 * G125 * 23.731782</f>
        <v>2847.8138399999998</v>
      </c>
      <c r="L125" s="23">
        <f>F125 * G125 * 5.658969</f>
        <v>679.07628</v>
      </c>
      <c r="M125" s="23">
        <f>F125 * G125 * 4.984621</f>
        <v>598.15451999999993</v>
      </c>
      <c r="N125" s="24">
        <f t="shared" si="15"/>
        <v>7115.81736</v>
      </c>
      <c r="O125" s="25">
        <f>IF(O3&gt;0,N125/O3/12,0)</f>
        <v>6.2778277946578864E-2</v>
      </c>
    </row>
    <row r="126" spans="2:15" x14ac:dyDescent="0.3">
      <c r="B126" s="18">
        <v>109</v>
      </c>
      <c r="C126" s="19" t="s">
        <v>338</v>
      </c>
      <c r="D126" s="20" t="s">
        <v>339</v>
      </c>
      <c r="E126" s="20" t="s">
        <v>340</v>
      </c>
      <c r="F126" s="21">
        <v>45</v>
      </c>
      <c r="G126" s="22">
        <v>12</v>
      </c>
      <c r="H126" s="23">
        <f>F126 * G126 * 72.000084</f>
        <v>38880.045360000004</v>
      </c>
      <c r="I126" s="23">
        <f t="shared" si="13"/>
        <v>0</v>
      </c>
      <c r="J126" s="23">
        <f t="shared" si="14"/>
        <v>0</v>
      </c>
      <c r="K126" s="23">
        <f>F126 * G126 * 68.55848</f>
        <v>37021.5792</v>
      </c>
      <c r="L126" s="23">
        <f>F126 * G126 * 16.34813</f>
        <v>8827.9902000000002</v>
      </c>
      <c r="M126" s="23">
        <f>F126 * G126 * 14.400017</f>
        <v>7776.00918</v>
      </c>
      <c r="N126" s="24">
        <f t="shared" si="15"/>
        <v>92505.62393999999</v>
      </c>
      <c r="O126" s="25">
        <f>IF(O3&gt;0,N126/O3/12,0)</f>
        <v>0.81611759795462469</v>
      </c>
    </row>
    <row r="127" spans="2:15" x14ac:dyDescent="0.3">
      <c r="B127" s="18">
        <v>110</v>
      </c>
      <c r="C127" s="19" t="s">
        <v>341</v>
      </c>
      <c r="D127" s="20" t="s">
        <v>342</v>
      </c>
      <c r="E127" s="20" t="s">
        <v>343</v>
      </c>
      <c r="F127" s="21">
        <v>5</v>
      </c>
      <c r="G127" s="22">
        <v>1</v>
      </c>
      <c r="H127" s="23">
        <f>F127 * G127 * 36.21306</f>
        <v>181.06529999999998</v>
      </c>
      <c r="I127" s="23">
        <f t="shared" si="13"/>
        <v>0</v>
      </c>
      <c r="J127" s="23">
        <f t="shared" si="14"/>
        <v>0</v>
      </c>
      <c r="K127" s="23">
        <f>F127 * G127 * 34.482076</f>
        <v>172.41038</v>
      </c>
      <c r="L127" s="23">
        <f>F127 * G127 * 8.222433</f>
        <v>41.112165000000005</v>
      </c>
      <c r="M127" s="23">
        <f>F127 * G127 * 7.242612</f>
        <v>36.213059999999999</v>
      </c>
      <c r="N127" s="24">
        <f t="shared" si="15"/>
        <v>430.800905</v>
      </c>
      <c r="O127" s="25">
        <f>IF(O3&gt;0,N127/O3/12,0)</f>
        <v>3.8006791891195637E-3</v>
      </c>
    </row>
    <row r="128" spans="2:15" x14ac:dyDescent="0.3">
      <c r="B128" s="18">
        <v>111</v>
      </c>
      <c r="C128" s="19" t="s">
        <v>344</v>
      </c>
      <c r="D128" s="20" t="s">
        <v>345</v>
      </c>
      <c r="E128" s="20" t="s">
        <v>312</v>
      </c>
      <c r="F128" s="21">
        <v>5</v>
      </c>
      <c r="G128" s="22">
        <v>12</v>
      </c>
      <c r="H128" s="23">
        <f>F128 * G128 * 191.986569</f>
        <v>11519.19414</v>
      </c>
      <c r="I128" s="23">
        <f t="shared" si="13"/>
        <v>0</v>
      </c>
      <c r="J128" s="23">
        <f t="shared" si="14"/>
        <v>0</v>
      </c>
      <c r="K128" s="23">
        <f>F128 * G128 * 182.809611</f>
        <v>10968.576659999999</v>
      </c>
      <c r="L128" s="23">
        <f>F128 * G128 * 43.591913</f>
        <v>2615.51478</v>
      </c>
      <c r="M128" s="23">
        <f>F128 * G128 * 38.397314</f>
        <v>2303.8388399999999</v>
      </c>
      <c r="N128" s="24">
        <f t="shared" si="15"/>
        <v>27407.12442</v>
      </c>
      <c r="O128" s="25">
        <f>IF(O3&gt;0,N128/O3/12,0)</f>
        <v>0.24179542384365371</v>
      </c>
    </row>
    <row r="129" spans="2:15" x14ac:dyDescent="0.3">
      <c r="B129" s="18">
        <v>112</v>
      </c>
      <c r="C129" s="19" t="s">
        <v>346</v>
      </c>
      <c r="D129" s="20" t="s">
        <v>347</v>
      </c>
      <c r="E129" s="20" t="s">
        <v>348</v>
      </c>
      <c r="F129" s="21">
        <v>5</v>
      </c>
      <c r="G129" s="22">
        <v>12</v>
      </c>
      <c r="H129" s="23">
        <f>F129 * G129 * 128.867697</f>
        <v>7732.0618199999999</v>
      </c>
      <c r="I129" s="23">
        <f t="shared" si="13"/>
        <v>0</v>
      </c>
      <c r="J129" s="23">
        <f t="shared" si="14"/>
        <v>0</v>
      </c>
      <c r="K129" s="23">
        <f>F129 * G129 * 122.707821</f>
        <v>7362.4692599999998</v>
      </c>
      <c r="L129" s="23">
        <f>F129 * G129 * 29.260325</f>
        <v>1755.6195</v>
      </c>
      <c r="M129" s="23">
        <f>F129 * G129 * 25.773539</f>
        <v>1546.4123399999999</v>
      </c>
      <c r="N129" s="24">
        <f t="shared" si="15"/>
        <v>18396.56292</v>
      </c>
      <c r="O129" s="25">
        <f>IF(O3&gt;0,N129/O3/12,0)</f>
        <v>0.16230103750913114</v>
      </c>
    </row>
    <row r="130" spans="2:15" x14ac:dyDescent="0.3">
      <c r="B130" s="18">
        <v>113</v>
      </c>
      <c r="C130" s="19" t="s">
        <v>349</v>
      </c>
      <c r="D130" s="20" t="s">
        <v>350</v>
      </c>
      <c r="E130" s="20" t="s">
        <v>348</v>
      </c>
      <c r="F130" s="21">
        <v>5</v>
      </c>
      <c r="G130" s="22">
        <v>12</v>
      </c>
      <c r="H130" s="23">
        <f>F130 * G130 * 42.079248</f>
        <v>2524.75488</v>
      </c>
      <c r="I130" s="23">
        <f t="shared" si="13"/>
        <v>0</v>
      </c>
      <c r="J130" s="23">
        <f t="shared" si="14"/>
        <v>0</v>
      </c>
      <c r="K130" s="23">
        <f>F130 * G130 * 40.0678599999999</f>
        <v>2404.0715999999939</v>
      </c>
      <c r="L130" s="23">
        <f>F130 * G130 * 9.554392</f>
        <v>573.26351999999997</v>
      </c>
      <c r="M130" s="23">
        <f>F130 * G130 * 8.41585</f>
        <v>504.95100000000002</v>
      </c>
      <c r="N130" s="24">
        <f t="shared" si="15"/>
        <v>6007.0409999999947</v>
      </c>
      <c r="O130" s="25">
        <f>IF(O3&gt;0,N130/O3/12,0)</f>
        <v>5.299625755634834E-2</v>
      </c>
    </row>
    <row r="131" spans="2:15" x14ac:dyDescent="0.3">
      <c r="B131" s="18">
        <v>114</v>
      </c>
      <c r="C131" s="19" t="s">
        <v>351</v>
      </c>
      <c r="D131" s="20" t="s">
        <v>352</v>
      </c>
      <c r="E131" s="20" t="s">
        <v>353</v>
      </c>
      <c r="F131" s="21">
        <v>5</v>
      </c>
      <c r="G131" s="22">
        <v>1</v>
      </c>
      <c r="H131" s="23">
        <f>F131 * G131 * 94.678308</f>
        <v>473.39154000000002</v>
      </c>
      <c r="I131" s="23">
        <f t="shared" si="13"/>
        <v>0</v>
      </c>
      <c r="J131" s="23">
        <f t="shared" si="14"/>
        <v>0</v>
      </c>
      <c r="K131" s="23">
        <f>F131 * G131 * 90.152685</f>
        <v>450.76342500000004</v>
      </c>
      <c r="L131" s="23">
        <f>F131 * G131 * 21.497382</f>
        <v>107.48691000000001</v>
      </c>
      <c r="M131" s="23">
        <f>F131 * G131 * 18.935662</f>
        <v>94.67831000000001</v>
      </c>
      <c r="N131" s="24">
        <f t="shared" si="15"/>
        <v>1126.320185</v>
      </c>
      <c r="O131" s="25">
        <f>IF(O3&gt;0,N131/O3/12,0)</f>
        <v>9.936798269759432E-3</v>
      </c>
    </row>
    <row r="132" spans="2:15" x14ac:dyDescent="0.3">
      <c r="B132" s="18">
        <v>115</v>
      </c>
      <c r="C132" s="19" t="s">
        <v>354</v>
      </c>
      <c r="D132" s="20" t="s">
        <v>355</v>
      </c>
      <c r="E132" s="20" t="s">
        <v>356</v>
      </c>
      <c r="F132" s="21">
        <v>5</v>
      </c>
      <c r="G132" s="22">
        <v>12</v>
      </c>
      <c r="H132" s="23">
        <f>F132 * G132 * 94.678308</f>
        <v>5680.69848</v>
      </c>
      <c r="I132" s="23">
        <f t="shared" si="13"/>
        <v>0</v>
      </c>
      <c r="J132" s="23">
        <f t="shared" si="14"/>
        <v>0</v>
      </c>
      <c r="K132" s="23">
        <f>F132 * G132 * 90.152685</f>
        <v>5409.1611000000003</v>
      </c>
      <c r="L132" s="23">
        <f>F132 * G132 * 21.497382</f>
        <v>1289.84292</v>
      </c>
      <c r="M132" s="23">
        <f>F132 * G132 * 18.935662</f>
        <v>1136.1397200000001</v>
      </c>
      <c r="N132" s="24">
        <f t="shared" si="15"/>
        <v>13515.842219999999</v>
      </c>
      <c r="O132" s="25">
        <f>IF(O3&gt;0,N132/O3/12,0)</f>
        <v>0.11924157923711316</v>
      </c>
    </row>
    <row r="133" spans="2:15" x14ac:dyDescent="0.3">
      <c r="B133" s="18">
        <v>116</v>
      </c>
      <c r="C133" s="19" t="s">
        <v>357</v>
      </c>
      <c r="D133" s="20" t="s">
        <v>358</v>
      </c>
      <c r="E133" s="20" t="s">
        <v>359</v>
      </c>
      <c r="F133" s="21">
        <v>5</v>
      </c>
      <c r="G133" s="22">
        <v>12</v>
      </c>
      <c r="H133" s="23">
        <f>F133 * G133 * 155.077104</f>
        <v>9304.6262399999996</v>
      </c>
      <c r="I133" s="23">
        <f t="shared" si="13"/>
        <v>0</v>
      </c>
      <c r="J133" s="23">
        <f t="shared" si="14"/>
        <v>0</v>
      </c>
      <c r="K133" s="23">
        <f>F133 * G133 * 147.664419</f>
        <v>8859.8651399999999</v>
      </c>
      <c r="L133" s="23">
        <f>F133 * G133 * 35.211358</f>
        <v>2112.6814799999997</v>
      </c>
      <c r="M133" s="23">
        <f>F133 * G133 * 31.015421</f>
        <v>1860.92526</v>
      </c>
      <c r="N133" s="24">
        <f t="shared" si="15"/>
        <v>22138.098119999999</v>
      </c>
      <c r="O133" s="25">
        <f>IF(O3&gt;0,N133/O3/12,0)</f>
        <v>0.19531019511523759</v>
      </c>
    </row>
    <row r="134" spans="2:15" x14ac:dyDescent="0.3">
      <c r="B134" s="18">
        <v>117</v>
      </c>
      <c r="C134" s="19" t="s">
        <v>360</v>
      </c>
      <c r="D134" s="20" t="s">
        <v>361</v>
      </c>
      <c r="E134" s="20" t="s">
        <v>362</v>
      </c>
      <c r="F134" s="21">
        <v>5</v>
      </c>
      <c r="G134" s="22">
        <v>12</v>
      </c>
      <c r="H134" s="23">
        <f>F134 * G134 * 130.399788</f>
        <v>7823.9872800000003</v>
      </c>
      <c r="I134" s="23">
        <f t="shared" si="13"/>
        <v>0</v>
      </c>
      <c r="J134" s="23">
        <f t="shared" si="14"/>
        <v>0</v>
      </c>
      <c r="K134" s="23">
        <f>F134 * G134 * 124.166677999999</f>
        <v>7450.0006799999401</v>
      </c>
      <c r="L134" s="23">
        <f>F134 * G134 * 29.6081979999999</f>
        <v>1776.4918799999939</v>
      </c>
      <c r="M134" s="23">
        <f>F134 * G134 * 26.079958</f>
        <v>1564.7974800000002</v>
      </c>
      <c r="N134" s="24">
        <f t="shared" si="15"/>
        <v>18615.277319999936</v>
      </c>
      <c r="O134" s="25">
        <f>IF(O3&gt;0,N134/O3/12,0)</f>
        <v>0.16423061393014751</v>
      </c>
    </row>
    <row r="135" spans="2:15" x14ac:dyDescent="0.3">
      <c r="B135" s="18">
        <v>118</v>
      </c>
      <c r="C135" s="19" t="s">
        <v>363</v>
      </c>
      <c r="D135" s="20" t="s">
        <v>364</v>
      </c>
      <c r="E135" s="20" t="s">
        <v>365</v>
      </c>
      <c r="F135" s="21">
        <v>5</v>
      </c>
      <c r="G135" s="22">
        <v>12</v>
      </c>
      <c r="H135" s="23">
        <f>F135 * G135 * 202.506381</f>
        <v>12150.38286</v>
      </c>
      <c r="I135" s="23">
        <f t="shared" si="13"/>
        <v>0</v>
      </c>
      <c r="J135" s="23">
        <f t="shared" si="14"/>
        <v>0</v>
      </c>
      <c r="K135" s="23">
        <f>F135 * G135 * 192.826576</f>
        <v>11569.59456</v>
      </c>
      <c r="L135" s="23">
        <f>F135 * G135 * 45.980511</f>
        <v>2758.8306600000001</v>
      </c>
      <c r="M135" s="23">
        <f>F135 * G135 * 40.501276</f>
        <v>2430.07656</v>
      </c>
      <c r="N135" s="24">
        <f t="shared" si="15"/>
        <v>28908.88464</v>
      </c>
      <c r="O135" s="25">
        <f>IF(O3&gt;0,N135/O3/12,0)</f>
        <v>0.25504448796807011</v>
      </c>
    </row>
    <row r="136" spans="2:15" x14ac:dyDescent="0.3">
      <c r="B136" s="18">
        <v>119</v>
      </c>
      <c r="C136" s="19" t="s">
        <v>366</v>
      </c>
      <c r="D136" s="20" t="s">
        <v>367</v>
      </c>
      <c r="E136" s="20" t="s">
        <v>368</v>
      </c>
      <c r="F136" s="21">
        <v>5</v>
      </c>
      <c r="G136" s="22">
        <v>12</v>
      </c>
      <c r="H136" s="23">
        <f>F136 * G136 * 55.229013</f>
        <v>3313.7407800000001</v>
      </c>
      <c r="I136" s="23">
        <f t="shared" si="13"/>
        <v>0</v>
      </c>
      <c r="J136" s="23">
        <f t="shared" si="14"/>
        <v>0</v>
      </c>
      <c r="K136" s="23">
        <f>F136 * G136 * 52.5890659999999</f>
        <v>3155.3439599999942</v>
      </c>
      <c r="L136" s="23">
        <f>F136 * G136 * 12.540139</f>
        <v>752.40833999999995</v>
      </c>
      <c r="M136" s="23">
        <f>F136 * G136 * 11.045803</f>
        <v>662.74817999999993</v>
      </c>
      <c r="N136" s="24">
        <f t="shared" si="15"/>
        <v>7884.2412599999943</v>
      </c>
      <c r="O136" s="25">
        <f>IF(O3&gt;0,N136/O3/12,0)</f>
        <v>6.9557587579533495E-2</v>
      </c>
    </row>
    <row r="137" spans="2:15" x14ac:dyDescent="0.3">
      <c r="B137" s="18">
        <v>120</v>
      </c>
      <c r="C137" s="19" t="s">
        <v>369</v>
      </c>
      <c r="D137" s="20" t="s">
        <v>370</v>
      </c>
      <c r="E137" s="20" t="s">
        <v>371</v>
      </c>
      <c r="F137" s="21">
        <v>5</v>
      </c>
      <c r="G137" s="22">
        <v>12</v>
      </c>
      <c r="H137" s="23">
        <f>F137 * G137 * 80.307786</f>
        <v>4818.4671599999992</v>
      </c>
      <c r="I137" s="23">
        <f t="shared" si="13"/>
        <v>0</v>
      </c>
      <c r="J137" s="23">
        <f t="shared" si="14"/>
        <v>0</v>
      </c>
      <c r="K137" s="23">
        <f>F137 * G137 * 76.469074</f>
        <v>4588.14444</v>
      </c>
      <c r="L137" s="23">
        <f>F137 * G137 * 18.234453</f>
        <v>1094.06718</v>
      </c>
      <c r="M137" s="23">
        <f>F137 * G137 * 16.061557</f>
        <v>963.69342000000006</v>
      </c>
      <c r="N137" s="24">
        <f t="shared" si="15"/>
        <v>11464.3722</v>
      </c>
      <c r="O137" s="25">
        <f>IF(O3&gt;0,N137/O3/12,0)</f>
        <v>0.10114277925405209</v>
      </c>
    </row>
    <row r="138" spans="2:15" ht="27.6" x14ac:dyDescent="0.3">
      <c r="B138" s="18">
        <v>121</v>
      </c>
      <c r="C138" s="19" t="s">
        <v>372</v>
      </c>
      <c r="D138" s="20" t="s">
        <v>373</v>
      </c>
      <c r="E138" s="20" t="s">
        <v>374</v>
      </c>
      <c r="F138" s="21">
        <v>25</v>
      </c>
      <c r="G138" s="22">
        <v>12</v>
      </c>
      <c r="H138" s="23">
        <f>F138 * G138 * 44.709201</f>
        <v>13412.7603</v>
      </c>
      <c r="I138" s="23">
        <f t="shared" si="13"/>
        <v>0</v>
      </c>
      <c r="J138" s="23">
        <f t="shared" si="14"/>
        <v>0</v>
      </c>
      <c r="K138" s="23">
        <f>F138 * G138 * 42.572102</f>
        <v>12771.6306</v>
      </c>
      <c r="L138" s="23">
        <f>F138 * G138 * 10.151542</f>
        <v>3045.4625999999998</v>
      </c>
      <c r="M138" s="23">
        <f>F138 * G138 * 8.94184</f>
        <v>2682.5519999999997</v>
      </c>
      <c r="N138" s="24">
        <f t="shared" si="15"/>
        <v>31912.405499999997</v>
      </c>
      <c r="O138" s="25">
        <f>IF(O3&gt;0,N138/O3/12,0)</f>
        <v>0.28154261992229263</v>
      </c>
    </row>
    <row r="139" spans="2:15" x14ac:dyDescent="0.3">
      <c r="B139" s="18">
        <v>122</v>
      </c>
      <c r="C139" s="19" t="s">
        <v>375</v>
      </c>
      <c r="D139" s="20" t="s">
        <v>376</v>
      </c>
      <c r="E139" s="20" t="s">
        <v>377</v>
      </c>
      <c r="F139" s="21">
        <v>5</v>
      </c>
      <c r="G139" s="22">
        <v>12</v>
      </c>
      <c r="H139" s="23">
        <f>F139 * G139 * 81.528543</f>
        <v>4891.7125800000003</v>
      </c>
      <c r="I139" s="23">
        <f t="shared" si="13"/>
        <v>0</v>
      </c>
      <c r="J139" s="23">
        <f t="shared" si="14"/>
        <v>0</v>
      </c>
      <c r="K139" s="23">
        <f>F139 * G139 * 77.631479</f>
        <v>4657.8887400000003</v>
      </c>
      <c r="L139" s="23">
        <f>F139 * G139 * 18.511635</f>
        <v>1110.6980999999998</v>
      </c>
      <c r="M139" s="23">
        <f>F139 * G139 * 16.305709</f>
        <v>978.34253999999999</v>
      </c>
      <c r="N139" s="24">
        <f t="shared" si="15"/>
        <v>11638.641960000001</v>
      </c>
      <c r="O139" s="25">
        <f>IF(O3&gt;0,N139/O3/12,0)</f>
        <v>0.10268024921392803</v>
      </c>
    </row>
    <row r="140" spans="2:15" x14ac:dyDescent="0.3">
      <c r="B140" s="18">
        <v>123</v>
      </c>
      <c r="C140" s="19" t="s">
        <v>378</v>
      </c>
      <c r="D140" s="20" t="s">
        <v>379</v>
      </c>
      <c r="E140" s="20" t="s">
        <v>377</v>
      </c>
      <c r="F140" s="21">
        <v>5</v>
      </c>
      <c r="G140" s="22">
        <v>12</v>
      </c>
      <c r="H140" s="23">
        <f>F140 * G140 * 120.977838</f>
        <v>7258.6702800000003</v>
      </c>
      <c r="I140" s="23">
        <f t="shared" si="13"/>
        <v>0</v>
      </c>
      <c r="J140" s="23">
        <f t="shared" si="14"/>
        <v>0</v>
      </c>
      <c r="K140" s="23">
        <f>F140 * G140 * 115.195098</f>
        <v>6911.7058800000004</v>
      </c>
      <c r="L140" s="23">
        <f>F140 * G140 * 27.468878</f>
        <v>1648.1326799999999</v>
      </c>
      <c r="M140" s="23">
        <f>F140 * G140 * 24.195568</f>
        <v>1451.7340800000002</v>
      </c>
      <c r="N140" s="24">
        <f t="shared" si="15"/>
        <v>17270.242920000001</v>
      </c>
      <c r="O140" s="25">
        <f>IF(O3&gt;0,N140/O3/12,0)</f>
        <v>0.15236424087150766</v>
      </c>
    </row>
    <row r="141" spans="2:15" x14ac:dyDescent="0.3">
      <c r="B141" s="18">
        <v>124</v>
      </c>
      <c r="C141" s="19" t="s">
        <v>380</v>
      </c>
      <c r="D141" s="20" t="s">
        <v>381</v>
      </c>
      <c r="E141" s="20" t="s">
        <v>269</v>
      </c>
      <c r="F141" s="21">
        <v>5</v>
      </c>
      <c r="G141" s="22">
        <v>1</v>
      </c>
      <c r="H141" s="23">
        <f>F141 * G141 * 2159.51094</f>
        <v>10797.554700000001</v>
      </c>
      <c r="I141" s="23">
        <f t="shared" si="13"/>
        <v>0</v>
      </c>
      <c r="J141" s="23">
        <f t="shared" si="14"/>
        <v>0</v>
      </c>
      <c r="K141" s="23">
        <f>F141 * G141 * 2056.286317</f>
        <v>10281.431585</v>
      </c>
      <c r="L141" s="23">
        <f>F141 * G141 * 490.332291</f>
        <v>2451.6614549999999</v>
      </c>
      <c r="M141" s="23">
        <f>F141 * G141 * 431.902188</f>
        <v>2159.5109400000001</v>
      </c>
      <c r="N141" s="24">
        <f t="shared" si="15"/>
        <v>25690.15868</v>
      </c>
      <c r="O141" s="25">
        <f>IF(O3&gt;0,N141/O3/12,0)</f>
        <v>0.22664773988869713</v>
      </c>
    </row>
    <row r="142" spans="2:15" ht="27.6" x14ac:dyDescent="0.3">
      <c r="B142" s="18">
        <v>125</v>
      </c>
      <c r="C142" s="19" t="s">
        <v>382</v>
      </c>
      <c r="D142" s="20" t="s">
        <v>383</v>
      </c>
      <c r="E142" s="20" t="s">
        <v>384</v>
      </c>
      <c r="F142" s="21">
        <v>10</v>
      </c>
      <c r="G142" s="22">
        <v>12</v>
      </c>
      <c r="H142" s="23">
        <f>F142 * G142 * 238.154124</f>
        <v>28578.494879999998</v>
      </c>
      <c r="I142" s="23">
        <f t="shared" si="13"/>
        <v>0</v>
      </c>
      <c r="J142" s="23">
        <f t="shared" si="14"/>
        <v>0</v>
      </c>
      <c r="K142" s="23">
        <f>F142 * G142 * 226.770357</f>
        <v>27212.44284</v>
      </c>
      <c r="L142" s="23">
        <f>F142 * G142 * 54.074585</f>
        <v>6488.9502000000002</v>
      </c>
      <c r="M142" s="23">
        <f>F142 * G142 * 47.630825</f>
        <v>5715.6990000000005</v>
      </c>
      <c r="N142" s="24">
        <f t="shared" si="15"/>
        <v>67995.586920000002</v>
      </c>
      <c r="O142" s="25">
        <f>IF(O3&gt;0,N142/O3/12,0)</f>
        <v>0.59988131213144602</v>
      </c>
    </row>
    <row r="143" spans="2:15" x14ac:dyDescent="0.3">
      <c r="B143" s="18">
        <v>126</v>
      </c>
      <c r="C143" s="19" t="s">
        <v>385</v>
      </c>
      <c r="D143" s="20" t="s">
        <v>386</v>
      </c>
      <c r="E143" s="20" t="s">
        <v>387</v>
      </c>
      <c r="F143" s="21">
        <v>1</v>
      </c>
      <c r="G143" s="22">
        <v>1</v>
      </c>
      <c r="H143" s="23">
        <f>F143 * G143 * 19717.2738</f>
        <v>19717.273799999999</v>
      </c>
      <c r="I143" s="23">
        <f t="shared" si="13"/>
        <v>0</v>
      </c>
      <c r="J143" s="23">
        <f t="shared" si="14"/>
        <v>0</v>
      </c>
      <c r="K143" s="23">
        <f>F143 * G143 * 18774.788112</f>
        <v>18774.788111999998</v>
      </c>
      <c r="L143" s="23">
        <f>F143 * G143 * 4476.94700899999</f>
        <v>4476.9470089999904</v>
      </c>
      <c r="M143" s="23">
        <f>F143 * G143 * 3943.45476</f>
        <v>3943.4547600000001</v>
      </c>
      <c r="N143" s="24">
        <f t="shared" si="15"/>
        <v>46912.463680999987</v>
      </c>
      <c r="O143" s="25">
        <f>IF(O3&gt;0,N143/O3/12,0)</f>
        <v>0.41387848157539042</v>
      </c>
    </row>
    <row r="144" spans="2:15" s="15" customFormat="1" ht="14.4" x14ac:dyDescent="0.3">
      <c r="B144" s="16"/>
      <c r="C144" s="17" t="s">
        <v>388</v>
      </c>
      <c r="D144" s="32" t="s">
        <v>389</v>
      </c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2:15" ht="41.4" x14ac:dyDescent="0.3">
      <c r="B145" s="18">
        <v>127</v>
      </c>
      <c r="C145" s="19" t="s">
        <v>390</v>
      </c>
      <c r="D145" s="20" t="s">
        <v>391</v>
      </c>
      <c r="E145" s="20" t="s">
        <v>392</v>
      </c>
      <c r="F145" s="21">
        <v>5.9210000000000003</v>
      </c>
      <c r="G145" s="22">
        <v>104</v>
      </c>
      <c r="H145" s="23">
        <f>F145 * G145 * 252.000294</f>
        <v>155177.74904049598</v>
      </c>
      <c r="I145" s="23">
        <f>F145 * G145 * 2.96946</f>
        <v>1828.5459566400002</v>
      </c>
      <c r="J145" s="23">
        <f t="shared" ref="J145:J157" si="16">F145 * G145 * 0</f>
        <v>0</v>
      </c>
      <c r="K145" s="23">
        <f>F145 * G145 * 239.95468</f>
        <v>147760.25266912</v>
      </c>
      <c r="L145" s="23">
        <f>F145 * G145 * 57.531734</f>
        <v>35427.121289456001</v>
      </c>
      <c r="M145" s="23">
        <f>F145 * G145 * 50.400059</f>
        <v>31035.549931255999</v>
      </c>
      <c r="N145" s="24">
        <f t="shared" ref="N145:N157" si="17">SUM(H145:M145)</f>
        <v>371229.21888696798</v>
      </c>
      <c r="O145" s="25">
        <f>IF(O3&gt;0,N145/O3/12,0)</f>
        <v>3.2751165335105568</v>
      </c>
    </row>
    <row r="146" spans="2:15" ht="41.4" x14ac:dyDescent="0.3">
      <c r="B146" s="18">
        <v>128</v>
      </c>
      <c r="C146" s="19" t="s">
        <v>393</v>
      </c>
      <c r="D146" s="20" t="s">
        <v>394</v>
      </c>
      <c r="E146" s="20" t="s">
        <v>395</v>
      </c>
      <c r="F146" s="21">
        <v>12.021000000000001</v>
      </c>
      <c r="G146" s="22">
        <v>104</v>
      </c>
      <c r="H146" s="23">
        <f>F146 * G146 * 220.047594</f>
        <v>275099.98125729605</v>
      </c>
      <c r="I146" s="23">
        <f>F146 * G146 * 2.96946</f>
        <v>3712.371380640001</v>
      </c>
      <c r="J146" s="23">
        <f t="shared" si="16"/>
        <v>0</v>
      </c>
      <c r="K146" s="23">
        <f>F146 * G146 * 209.529319</f>
        <v>261950.20214469603</v>
      </c>
      <c r="L146" s="23">
        <f>F146 * G146 * 50.276646</f>
        <v>62855.058402864008</v>
      </c>
      <c r="M146" s="23">
        <f>F146 * G146 * 44.009519</f>
        <v>55019.996501496003</v>
      </c>
      <c r="N146" s="24">
        <f t="shared" si="17"/>
        <v>658637.60968699213</v>
      </c>
      <c r="O146" s="25">
        <f>IF(O3&gt;0,N146/O3/12,0)</f>
        <v>5.8107358347095506</v>
      </c>
    </row>
    <row r="147" spans="2:15" ht="27.6" x14ac:dyDescent="0.3">
      <c r="B147" s="18">
        <v>129</v>
      </c>
      <c r="C147" s="19" t="s">
        <v>396</v>
      </c>
      <c r="D147" s="20" t="s">
        <v>397</v>
      </c>
      <c r="E147" s="20" t="s">
        <v>392</v>
      </c>
      <c r="F147" s="21">
        <v>5.9210000000000003</v>
      </c>
      <c r="G147" s="22">
        <v>24</v>
      </c>
      <c r="H147" s="23">
        <f>F147 * G147 * 323.148306</f>
        <v>45920.666875824005</v>
      </c>
      <c r="I147" s="23">
        <f>F147 * G147 * 77.7709</f>
        <v>11051.555973600001</v>
      </c>
      <c r="J147" s="23">
        <f t="shared" si="16"/>
        <v>0</v>
      </c>
      <c r="K147" s="23">
        <f>F147 * G147 * 307.701817</f>
        <v>43725.659002968008</v>
      </c>
      <c r="L147" s="23">
        <f>F147 * G147 * 81.577947</f>
        <v>11592.552580488</v>
      </c>
      <c r="M147" s="23">
        <f>F147 * G147 * 64.629661</f>
        <v>9184.1333467439999</v>
      </c>
      <c r="N147" s="24">
        <f t="shared" si="17"/>
        <v>121474.56777962402</v>
      </c>
      <c r="O147" s="25">
        <f>IF(O3&gt;0,N147/O3/12,0)</f>
        <v>1.0716919495963244</v>
      </c>
    </row>
    <row r="148" spans="2:15" ht="27.6" x14ac:dyDescent="0.3">
      <c r="B148" s="18">
        <v>130</v>
      </c>
      <c r="C148" s="19" t="s">
        <v>398</v>
      </c>
      <c r="D148" s="20" t="s">
        <v>399</v>
      </c>
      <c r="E148" s="20" t="s">
        <v>392</v>
      </c>
      <c r="F148" s="21">
        <v>12.021000000000001</v>
      </c>
      <c r="G148" s="22">
        <v>24</v>
      </c>
      <c r="H148" s="23">
        <f>F148 * G148 * 276.9234</f>
        <v>79893.50859360001</v>
      </c>
      <c r="I148" s="23">
        <f>F148 * G148 * 77.7709</f>
        <v>22437.215733600002</v>
      </c>
      <c r="J148" s="23">
        <f t="shared" si="16"/>
        <v>0</v>
      </c>
      <c r="K148" s="23">
        <f>F148 * G148 * 263.686461</f>
        <v>76074.59874434401</v>
      </c>
      <c r="L148" s="23">
        <f>F148 * G148 * 71.0822539999999</f>
        <v>20507.514608015976</v>
      </c>
      <c r="M148" s="23">
        <f>F148 * G148 * 55.38468</f>
        <v>15978.701718720002</v>
      </c>
      <c r="N148" s="24">
        <f t="shared" si="17"/>
        <v>214891.53939827997</v>
      </c>
      <c r="O148" s="25">
        <f>IF(O3&gt;0,N148/O3/12,0)</f>
        <v>1.895849781719724</v>
      </c>
    </row>
    <row r="149" spans="2:15" x14ac:dyDescent="0.3">
      <c r="B149" s="18">
        <v>131</v>
      </c>
      <c r="C149" s="19" t="s">
        <v>400</v>
      </c>
      <c r="D149" s="20" t="s">
        <v>401</v>
      </c>
      <c r="E149" s="20" t="s">
        <v>402</v>
      </c>
      <c r="F149" s="21">
        <v>0.21199999999999999</v>
      </c>
      <c r="G149" s="22">
        <v>365</v>
      </c>
      <c r="H149" s="23">
        <f>F149 * G149 * 376.402806</f>
        <v>29126.049128279999</v>
      </c>
      <c r="I149" s="23">
        <f>F149 * G149 * 105.67668</f>
        <v>8177.2614984000002</v>
      </c>
      <c r="J149" s="23">
        <f t="shared" si="16"/>
        <v>0</v>
      </c>
      <c r="K149" s="23">
        <f>F149 * G149 * 358.410752</f>
        <v>27733.82398976</v>
      </c>
      <c r="L149" s="23">
        <f>F149 * G149 * 96.613819</f>
        <v>7475.9773142200002</v>
      </c>
      <c r="M149" s="23">
        <f>F149 * G149 * 75.280561</f>
        <v>5825.2098101800002</v>
      </c>
      <c r="N149" s="24">
        <f t="shared" si="17"/>
        <v>78338.321740840009</v>
      </c>
      <c r="O149" s="25">
        <f>IF(O3&gt;0,N149/O3/12,0)</f>
        <v>0.69112860649854779</v>
      </c>
    </row>
    <row r="150" spans="2:15" ht="27.6" x14ac:dyDescent="0.3">
      <c r="B150" s="18">
        <v>132</v>
      </c>
      <c r="C150" s="19" t="s">
        <v>403</v>
      </c>
      <c r="D150" s="20" t="s">
        <v>404</v>
      </c>
      <c r="E150" s="20" t="s">
        <v>31</v>
      </c>
      <c r="F150" s="21">
        <v>0.9</v>
      </c>
      <c r="G150" s="22">
        <v>1</v>
      </c>
      <c r="H150" s="23">
        <f>F150 * G150 * 191.7162</f>
        <v>172.54458</v>
      </c>
      <c r="I150" s="23">
        <f>F150 * G150 * 9.534435</f>
        <v>8.5809914999999997</v>
      </c>
      <c r="J150" s="23">
        <f t="shared" si="16"/>
        <v>0</v>
      </c>
      <c r="K150" s="23">
        <f>F150 * G150 * 182.552166</f>
        <v>164.29694940000002</v>
      </c>
      <c r="L150" s="23">
        <f>F150 * G150 * 44.536407</f>
        <v>40.082766299999996</v>
      </c>
      <c r="M150" s="23">
        <f>F150 * G150 * 38.34324</f>
        <v>34.508915999999999</v>
      </c>
      <c r="N150" s="24">
        <f t="shared" si="17"/>
        <v>420.0142032</v>
      </c>
      <c r="O150" s="25">
        <f>IF(O3&gt;0,N150/O3/12,0)</f>
        <v>3.7055150597626427E-3</v>
      </c>
    </row>
    <row r="151" spans="2:15" ht="27.6" x14ac:dyDescent="0.3">
      <c r="B151" s="18">
        <v>133</v>
      </c>
      <c r="C151" s="19" t="s">
        <v>405</v>
      </c>
      <c r="D151" s="20" t="s">
        <v>406</v>
      </c>
      <c r="E151" s="20" t="s">
        <v>407</v>
      </c>
      <c r="F151" s="21">
        <v>0.7</v>
      </c>
      <c r="G151" s="22">
        <v>2</v>
      </c>
      <c r="H151" s="23">
        <f>F151 * G151 * 482.911806</f>
        <v>676.07652840000003</v>
      </c>
      <c r="I151" s="23">
        <f>F151 * G151 * 64.780335</f>
        <v>90.692468999999988</v>
      </c>
      <c r="J151" s="23">
        <f t="shared" si="16"/>
        <v>0</v>
      </c>
      <c r="K151" s="23">
        <f>F151 * G151 * 459.828622</f>
        <v>643.76007079999999</v>
      </c>
      <c r="L151" s="23">
        <f>F151 * G151 * 116.48288</f>
        <v>163.07603199999997</v>
      </c>
      <c r="M151" s="23">
        <f>F151 * G151 * 96.582361</f>
        <v>135.21530540000001</v>
      </c>
      <c r="N151" s="24">
        <f t="shared" si="17"/>
        <v>1708.8204056</v>
      </c>
      <c r="O151" s="25">
        <f>IF(O3&gt;0,N151/O3/12,0)</f>
        <v>1.5075822910601297E-2</v>
      </c>
    </row>
    <row r="152" spans="2:15" ht="27.6" x14ac:dyDescent="0.3">
      <c r="B152" s="18">
        <v>134</v>
      </c>
      <c r="C152" s="19" t="s">
        <v>408</v>
      </c>
      <c r="D152" s="20" t="s">
        <v>409</v>
      </c>
      <c r="E152" s="20" t="s">
        <v>410</v>
      </c>
      <c r="F152" s="21">
        <v>0.52</v>
      </c>
      <c r="G152" s="22">
        <v>2</v>
      </c>
      <c r="H152" s="23">
        <f>F152 * G152 * 486.320094</f>
        <v>505.77289775999998</v>
      </c>
      <c r="I152" s="23">
        <f>F152 * G152 * 64.853655</f>
        <v>67.447801200000001</v>
      </c>
      <c r="J152" s="23">
        <f t="shared" si="16"/>
        <v>0</v>
      </c>
      <c r="K152" s="23">
        <f>F152 * G152 * 463.073993</f>
        <v>481.59695271999999</v>
      </c>
      <c r="L152" s="23">
        <f>F152 * G152 * 117.264490999999</f>
        <v>121.95507063999897</v>
      </c>
      <c r="M152" s="23">
        <f>F152 * G152 * 97.264019</f>
        <v>101.15457976</v>
      </c>
      <c r="N152" s="24">
        <f t="shared" si="17"/>
        <v>1277.9273020799988</v>
      </c>
      <c r="O152" s="25">
        <f>IF(O3&gt;0,N152/O3/12,0)</f>
        <v>1.1274330313264224E-2</v>
      </c>
    </row>
    <row r="153" spans="2:15" ht="27.6" x14ac:dyDescent="0.3">
      <c r="B153" s="18">
        <v>135</v>
      </c>
      <c r="C153" s="19" t="s">
        <v>411</v>
      </c>
      <c r="D153" s="20" t="s">
        <v>412</v>
      </c>
      <c r="E153" s="20" t="s">
        <v>413</v>
      </c>
      <c r="F153" s="21">
        <v>2.3919999999999999</v>
      </c>
      <c r="G153" s="22">
        <v>2</v>
      </c>
      <c r="H153" s="23">
        <f>F153 * G153 * 713.6103</f>
        <v>3413.9116752</v>
      </c>
      <c r="I153" s="23">
        <f>F153 * G153 * 165.881593</f>
        <v>793.57754091200002</v>
      </c>
      <c r="J153" s="23">
        <f t="shared" si="16"/>
        <v>0</v>
      </c>
      <c r="K153" s="23">
        <f>F153 * G153 * 679.499728</f>
        <v>3250.7266987519997</v>
      </c>
      <c r="L153" s="23">
        <f>F153 * G153 * 179.530793</f>
        <v>858.87531371199987</v>
      </c>
      <c r="M153" s="23">
        <f>F153 * G153 * 142.72206</f>
        <v>682.78233504000002</v>
      </c>
      <c r="N153" s="24">
        <f t="shared" si="17"/>
        <v>8999.8735636159981</v>
      </c>
      <c r="O153" s="25">
        <f>IF(O3&gt;0,N153/O3/12,0)</f>
        <v>7.9400093548881126E-2</v>
      </c>
    </row>
    <row r="154" spans="2:15" x14ac:dyDescent="0.3">
      <c r="B154" s="18">
        <v>136</v>
      </c>
      <c r="C154" s="19" t="s">
        <v>414</v>
      </c>
      <c r="D154" s="20" t="s">
        <v>415</v>
      </c>
      <c r="E154" s="20" t="s">
        <v>416</v>
      </c>
      <c r="F154" s="21">
        <v>1.4999999999999999E-2</v>
      </c>
      <c r="G154" s="22">
        <v>247</v>
      </c>
      <c r="H154" s="23">
        <f>F154 * G154 * 77.0142</f>
        <v>285.33761100000004</v>
      </c>
      <c r="I154" s="23">
        <f>F154 * G154 * 54.74466</f>
        <v>202.82896530000002</v>
      </c>
      <c r="J154" s="23">
        <f t="shared" si="16"/>
        <v>0</v>
      </c>
      <c r="K154" s="23">
        <f>F154 * G154 * 73.332921</f>
        <v>271.698472305</v>
      </c>
      <c r="L154" s="23">
        <f>F154 * G154 * 23.262182</f>
        <v>86.186384309999994</v>
      </c>
      <c r="M154" s="23">
        <f>F154 * G154 * 15.40284</f>
        <v>57.067522199999999</v>
      </c>
      <c r="N154" s="24">
        <f t="shared" si="17"/>
        <v>903.11895511500006</v>
      </c>
      <c r="O154" s="25">
        <f>IF(O3&gt;0,N154/O3/12,0)</f>
        <v>7.9676374356850207E-3</v>
      </c>
    </row>
    <row r="155" spans="2:15" ht="41.4" x14ac:dyDescent="0.3">
      <c r="B155" s="18">
        <v>137</v>
      </c>
      <c r="C155" s="19" t="s">
        <v>417</v>
      </c>
      <c r="D155" s="20" t="s">
        <v>418</v>
      </c>
      <c r="E155" s="20" t="s">
        <v>419</v>
      </c>
      <c r="F155" s="21">
        <v>0.54</v>
      </c>
      <c r="G155" s="22">
        <v>2</v>
      </c>
      <c r="H155" s="23">
        <f>F155 * G155 * 287.5743</f>
        <v>310.58024399999999</v>
      </c>
      <c r="I155" s="23">
        <f>F155 * G155 * 46.32414</f>
        <v>50.030071200000002</v>
      </c>
      <c r="J155" s="23">
        <f t="shared" si="16"/>
        <v>0</v>
      </c>
      <c r="K155" s="23">
        <f>F155 * G155 * 273.828248</f>
        <v>295.73450783999999</v>
      </c>
      <c r="L155" s="23">
        <f>F155 * G155 * 70.1829839999999</f>
        <v>75.797622719999907</v>
      </c>
      <c r="M155" s="23">
        <f>F155 * G155 * 57.51486</f>
        <v>62.116048800000002</v>
      </c>
      <c r="N155" s="24">
        <f t="shared" si="17"/>
        <v>794.25849455999992</v>
      </c>
      <c r="O155" s="25">
        <f>IF(O3&gt;0,N155/O3/12,0)</f>
        <v>7.0072316376764013E-3</v>
      </c>
    </row>
    <row r="156" spans="2:15" ht="27.6" x14ac:dyDescent="0.3">
      <c r="B156" s="18">
        <v>138</v>
      </c>
      <c r="C156" s="19" t="s">
        <v>420</v>
      </c>
      <c r="D156" s="20" t="s">
        <v>421</v>
      </c>
      <c r="E156" s="20" t="s">
        <v>422</v>
      </c>
      <c r="F156" s="21">
        <v>0.36</v>
      </c>
      <c r="G156" s="22">
        <v>2</v>
      </c>
      <c r="H156" s="23">
        <f>F156 * G156 * 387.053706</f>
        <v>278.67866831999999</v>
      </c>
      <c r="I156" s="23">
        <f>F156 * G156 * 46.32414</f>
        <v>33.353380799999996</v>
      </c>
      <c r="J156" s="23">
        <f t="shared" si="16"/>
        <v>0</v>
      </c>
      <c r="K156" s="23">
        <f>F156 * G156 * 368.552539</f>
        <v>265.35782807999999</v>
      </c>
      <c r="L156" s="23">
        <f>F156 * G156 * 92.770489</f>
        <v>66.794752079999995</v>
      </c>
      <c r="M156" s="23">
        <f>F156 * G156 * 77.410741</f>
        <v>55.735733519999997</v>
      </c>
      <c r="N156" s="24">
        <f t="shared" si="17"/>
        <v>699.92036280000002</v>
      </c>
      <c r="O156" s="25">
        <f>IF(O3&gt;0,N156/O3/12,0)</f>
        <v>6.1749470023396884E-3</v>
      </c>
    </row>
    <row r="157" spans="2:15" x14ac:dyDescent="0.3">
      <c r="B157" s="18">
        <v>139</v>
      </c>
      <c r="C157" s="19" t="s">
        <v>423</v>
      </c>
      <c r="D157" s="20" t="s">
        <v>424</v>
      </c>
      <c r="E157" s="20" t="s">
        <v>425</v>
      </c>
      <c r="F157" s="21">
        <v>17.940000000000001</v>
      </c>
      <c r="G157" s="22">
        <v>2</v>
      </c>
      <c r="H157" s="23">
        <f>F157 * G157 * 223.6689</f>
        <v>8025.2401320000008</v>
      </c>
      <c r="I157" s="23">
        <f>F157 * G157 * 11.31384</f>
        <v>405.94057920000006</v>
      </c>
      <c r="J157" s="23">
        <f t="shared" si="16"/>
        <v>0</v>
      </c>
      <c r="K157" s="23">
        <f>F157 * G157 * 212.977527</f>
        <v>7641.6336687600005</v>
      </c>
      <c r="L157" s="23">
        <f>F157 * G157 * 51.979222</f>
        <v>1865.0144853600002</v>
      </c>
      <c r="M157" s="23">
        <f>F157 * G157 * 44.73378</f>
        <v>1605.0480264000003</v>
      </c>
      <c r="N157" s="24">
        <f t="shared" si="17"/>
        <v>19542.87689172</v>
      </c>
      <c r="O157" s="25">
        <f>IF(O3&gt;0,N157/O3/12,0)</f>
        <v>0.1724142280942651</v>
      </c>
    </row>
    <row r="158" spans="2:15" s="15" customFormat="1" ht="14.4" x14ac:dyDescent="0.3">
      <c r="B158" s="16"/>
      <c r="C158" s="17" t="s">
        <v>426</v>
      </c>
      <c r="D158" s="32" t="s">
        <v>427</v>
      </c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</row>
    <row r="159" spans="2:15" ht="27.6" x14ac:dyDescent="0.3">
      <c r="B159" s="18">
        <v>140</v>
      </c>
      <c r="C159" s="19" t="s">
        <v>428</v>
      </c>
      <c r="D159" s="20" t="s">
        <v>429</v>
      </c>
      <c r="E159" s="20" t="s">
        <v>430</v>
      </c>
      <c r="F159" s="21">
        <v>0.71299999999999997</v>
      </c>
      <c r="G159" s="22">
        <v>123.5</v>
      </c>
      <c r="H159" s="23">
        <f>F159 * G159 * 273.6462</f>
        <v>24096.052964099999</v>
      </c>
      <c r="I159" s="23">
        <f>F159 * G159 * 1.561904</f>
        <v>137.53423767199999</v>
      </c>
      <c r="J159" s="23">
        <f>F159 * G159 * 0</f>
        <v>0</v>
      </c>
      <c r="K159" s="23">
        <f>F159 * G159 * 260.565912</f>
        <v>22944.261664116002</v>
      </c>
      <c r="L159" s="23">
        <f>F159 * G159 * 62.298093</f>
        <v>5485.6897281615002</v>
      </c>
      <c r="M159" s="23">
        <f>F159 * G159 * 54.72924</f>
        <v>4819.2105928199999</v>
      </c>
      <c r="N159" s="24">
        <f t="shared" ref="N159:N175" si="18">SUM(H159:M159)</f>
        <v>57482.749186869507</v>
      </c>
      <c r="O159" s="25">
        <f>IF(O3&gt;0,N159/O3/12,0)</f>
        <v>0.50713330922068156</v>
      </c>
    </row>
    <row r="160" spans="2:15" ht="27.6" x14ac:dyDescent="0.3">
      <c r="B160" s="18">
        <v>141</v>
      </c>
      <c r="C160" s="19" t="s">
        <v>431</v>
      </c>
      <c r="D160" s="20" t="s">
        <v>432</v>
      </c>
      <c r="E160" s="20" t="s">
        <v>433</v>
      </c>
      <c r="F160" s="21">
        <v>4.5999999999999999E-2</v>
      </c>
      <c r="G160" s="22">
        <v>2</v>
      </c>
      <c r="H160" s="23">
        <f>F160 * G160 * 191170.5462</f>
        <v>17587.690250399999</v>
      </c>
      <c r="I160" s="23">
        <f>F160 * G160 * 1083.608688</f>
        <v>99.691999296000006</v>
      </c>
      <c r="J160" s="23">
        <f>F160 * G160 * 0</f>
        <v>0</v>
      </c>
      <c r="K160" s="23">
        <f>F160 * G160 * 182032.594092</f>
        <v>16746.998656464002</v>
      </c>
      <c r="L160" s="23">
        <f>F160 * G160 * 43520.950542</f>
        <v>4003.9274498639998</v>
      </c>
      <c r="M160" s="23">
        <f>F160 * G160 * 38234.10924</f>
        <v>3517.5380500799997</v>
      </c>
      <c r="N160" s="24">
        <f t="shared" si="18"/>
        <v>41955.846406104007</v>
      </c>
      <c r="O160" s="25">
        <f>IF(O3&gt;0,N160/O3/12,0)</f>
        <v>0.37014943665816191</v>
      </c>
    </row>
    <row r="161" spans="2:15" x14ac:dyDescent="0.3">
      <c r="B161" s="18">
        <v>142</v>
      </c>
      <c r="C161" s="19" t="s">
        <v>434</v>
      </c>
      <c r="D161" s="20" t="s">
        <v>435</v>
      </c>
      <c r="E161" s="20" t="s">
        <v>436</v>
      </c>
      <c r="F161" s="21">
        <v>4.5999999999999999E-2</v>
      </c>
      <c r="G161" s="22">
        <v>123.5</v>
      </c>
      <c r="H161" s="23">
        <f>F161 * G161 * 21028.1538</f>
        <v>119460.94173780001</v>
      </c>
      <c r="I161" s="23">
        <f>F161 * G161 * 120.9216</f>
        <v>686.9556096</v>
      </c>
      <c r="J161" s="23">
        <f>F161 * G161 * 0</f>
        <v>0</v>
      </c>
      <c r="K161" s="23">
        <f>F161 * G161 * 20023.008048</f>
        <v>113750.708720688</v>
      </c>
      <c r="L161" s="23">
        <f>F161 * G161 * 4787.348849</f>
        <v>27196.928811169</v>
      </c>
      <c r="M161" s="23">
        <f>F161 * G161 * 4205.63076</f>
        <v>23892.188347560001</v>
      </c>
      <c r="N161" s="24">
        <f t="shared" si="18"/>
        <v>284987.72322681698</v>
      </c>
      <c r="O161" s="25">
        <f>IF(O3&gt;0,N161/O3/12,0)</f>
        <v>2.5142633087614557</v>
      </c>
    </row>
    <row r="162" spans="2:15" x14ac:dyDescent="0.3">
      <c r="B162" s="18">
        <v>143</v>
      </c>
      <c r="C162" s="19" t="s">
        <v>437</v>
      </c>
      <c r="D162" s="20" t="s">
        <v>438</v>
      </c>
      <c r="E162" s="20" t="s">
        <v>439</v>
      </c>
      <c r="F162" s="21">
        <v>45.7</v>
      </c>
      <c r="G162" s="22">
        <v>2</v>
      </c>
      <c r="H162" s="23">
        <f>F162 * G162 * 208.75764</f>
        <v>19080.448296000002</v>
      </c>
      <c r="I162" s="23">
        <f>F162 * G162 * 30.2304</f>
        <v>2763.0585599999999</v>
      </c>
      <c r="J162" s="23">
        <f>F162 * G162 * 26.2218</f>
        <v>2396.6725200000005</v>
      </c>
      <c r="K162" s="23">
        <f>F162 * G162 * 198.779025</f>
        <v>18168.402885</v>
      </c>
      <c r="L162" s="23">
        <f>F162 * G162 * 53.355611</f>
        <v>4876.702845400001</v>
      </c>
      <c r="M162" s="23">
        <f>F162 * G162 * 41.751528</f>
        <v>3816.0896592000004</v>
      </c>
      <c r="N162" s="24">
        <f t="shared" si="18"/>
        <v>51101.374765600005</v>
      </c>
      <c r="O162" s="25">
        <f>IF(O3&gt;0,N162/O3/12,0)</f>
        <v>0.45083454875057788</v>
      </c>
    </row>
    <row r="163" spans="2:15" x14ac:dyDescent="0.3">
      <c r="B163" s="18">
        <v>144</v>
      </c>
      <c r="C163" s="19" t="s">
        <v>440</v>
      </c>
      <c r="D163" s="20" t="s">
        <v>441</v>
      </c>
      <c r="E163" s="20" t="s">
        <v>442</v>
      </c>
      <c r="F163" s="21">
        <v>0.05</v>
      </c>
      <c r="G163" s="22">
        <v>247</v>
      </c>
      <c r="H163" s="23">
        <f>F163 * G163 * 394.9026</f>
        <v>4877.0471100000004</v>
      </c>
      <c r="I163" s="23">
        <f>F163 * G163 * 503.84</f>
        <v>6222.424</v>
      </c>
      <c r="J163" s="23">
        <f t="shared" ref="J163:J170" si="19">F163 * G163 * 0</f>
        <v>0</v>
      </c>
      <c r="K163" s="23">
        <f>F163 * G163 * 376.026256</f>
        <v>4643.9242616000001</v>
      </c>
      <c r="L163" s="23">
        <f>F163 * G163 * 142.820559</f>
        <v>1763.8339036500001</v>
      </c>
      <c r="M163" s="23">
        <f>F163 * G163 * 78.98052</f>
        <v>975.40942200000006</v>
      </c>
      <c r="N163" s="24">
        <f t="shared" si="18"/>
        <v>18482.63869725</v>
      </c>
      <c r="O163" s="25">
        <f>IF(O3&gt;0,N163/O3/12,0)</f>
        <v>0.16306042870697776</v>
      </c>
    </row>
    <row r="164" spans="2:15" x14ac:dyDescent="0.3">
      <c r="B164" s="18">
        <v>145</v>
      </c>
      <c r="C164" s="19" t="s">
        <v>443</v>
      </c>
      <c r="D164" s="20" t="s">
        <v>444</v>
      </c>
      <c r="E164" s="20" t="s">
        <v>445</v>
      </c>
      <c r="F164" s="21">
        <v>1</v>
      </c>
      <c r="G164" s="22">
        <v>1</v>
      </c>
      <c r="H164" s="23">
        <f>F164 * G164 * 21.940854</f>
        <v>21.940854000000002</v>
      </c>
      <c r="I164" s="23">
        <f>F164 * G164 * 779.131483</f>
        <v>779.131483</v>
      </c>
      <c r="J164" s="23">
        <f t="shared" si="19"/>
        <v>0</v>
      </c>
      <c r="K164" s="23">
        <f>F164 * G164 * 20.8920809999999</f>
        <v>20.892080999999902</v>
      </c>
      <c r="L164" s="23">
        <f>F164 * G164 * 87.180198</f>
        <v>87.180198000000004</v>
      </c>
      <c r="M164" s="23">
        <f>F164 * G164 * 4.388171</f>
        <v>4.3881709999999998</v>
      </c>
      <c r="N164" s="24">
        <f t="shared" si="18"/>
        <v>913.53278699999987</v>
      </c>
      <c r="O164" s="25">
        <f>IF(O3&gt;0,N164/O3/12,0)</f>
        <v>8.0595119737023168E-3</v>
      </c>
    </row>
    <row r="165" spans="2:15" ht="41.4" x14ac:dyDescent="0.3">
      <c r="B165" s="18">
        <v>146</v>
      </c>
      <c r="C165" s="19" t="s">
        <v>446</v>
      </c>
      <c r="D165" s="20" t="s">
        <v>447</v>
      </c>
      <c r="E165" s="20" t="s">
        <v>448</v>
      </c>
      <c r="F165" s="21">
        <v>7.1300000000000002E-2</v>
      </c>
      <c r="G165" s="22">
        <v>10</v>
      </c>
      <c r="H165" s="23">
        <f>F165 * G165 * 4370.1462</f>
        <v>3115.9142406000005</v>
      </c>
      <c r="I165" s="23">
        <f t="shared" ref="I165:I172" si="20">F165 * G165 * 0</f>
        <v>0</v>
      </c>
      <c r="J165" s="23">
        <f t="shared" si="19"/>
        <v>0</v>
      </c>
      <c r="K165" s="23">
        <f>F165 * G165 * 4161.253212</f>
        <v>2966.9735401560001</v>
      </c>
      <c r="L165" s="23">
        <f>F165 * G165 * 992.272722</f>
        <v>707.49045078600011</v>
      </c>
      <c r="M165" s="23">
        <f>F165 * G165 * 874.02924</f>
        <v>623.18284812000002</v>
      </c>
      <c r="N165" s="24">
        <f t="shared" si="18"/>
        <v>7413.5610796620003</v>
      </c>
      <c r="O165" s="25">
        <f>IF(O3&gt;0,N165/O3/12,0)</f>
        <v>6.5405079204135214E-2</v>
      </c>
    </row>
    <row r="166" spans="2:15" ht="41.4" x14ac:dyDescent="0.3">
      <c r="B166" s="18">
        <v>147</v>
      </c>
      <c r="C166" s="19" t="s">
        <v>449</v>
      </c>
      <c r="D166" s="20" t="s">
        <v>450</v>
      </c>
      <c r="E166" s="20" t="s">
        <v>448</v>
      </c>
      <c r="F166" s="21">
        <v>7.1300000000000002E-2</v>
      </c>
      <c r="G166" s="22">
        <v>10</v>
      </c>
      <c r="H166" s="23">
        <f>F166 * G166 * 19389.5538</f>
        <v>13824.751859400003</v>
      </c>
      <c r="I166" s="23">
        <f t="shared" si="20"/>
        <v>0</v>
      </c>
      <c r="J166" s="23">
        <f t="shared" si="19"/>
        <v>0</v>
      </c>
      <c r="K166" s="23">
        <f>F166 * G166 * 18462.733128</f>
        <v>13163.928720264001</v>
      </c>
      <c r="L166" s="23">
        <f>F166 * G166 * 4402.535856</f>
        <v>3139.0080653280006</v>
      </c>
      <c r="M166" s="23">
        <f>F166 * G166 * 3877.91076</f>
        <v>2764.9503718800006</v>
      </c>
      <c r="N166" s="24">
        <f t="shared" si="18"/>
        <v>32892.63901687201</v>
      </c>
      <c r="O166" s="25">
        <f>IF(O3&gt;0,N166/O3/12,0)</f>
        <v>0.29019058951755833</v>
      </c>
    </row>
    <row r="167" spans="2:15" ht="41.4" x14ac:dyDescent="0.3">
      <c r="B167" s="18">
        <v>148</v>
      </c>
      <c r="C167" s="19" t="s">
        <v>451</v>
      </c>
      <c r="D167" s="20" t="s">
        <v>452</v>
      </c>
      <c r="E167" s="20" t="s">
        <v>448</v>
      </c>
      <c r="F167" s="21">
        <v>7.1300000000000002E-2</v>
      </c>
      <c r="G167" s="22">
        <v>4</v>
      </c>
      <c r="H167" s="23">
        <f>F167 * G167 * 122349.3462</f>
        <v>34894.03353624</v>
      </c>
      <c r="I167" s="23">
        <f t="shared" si="20"/>
        <v>0</v>
      </c>
      <c r="J167" s="23">
        <f t="shared" si="19"/>
        <v>0</v>
      </c>
      <c r="K167" s="23">
        <f>F167 * G167 * 116501.047452</f>
        <v>33226.098733310399</v>
      </c>
      <c r="L167" s="23">
        <f>F167 * G167 * 27780.2877349999</f>
        <v>7922.9380620219717</v>
      </c>
      <c r="M167" s="23">
        <f>F167 * G167 * 24469.86924</f>
        <v>6978.8067072479998</v>
      </c>
      <c r="N167" s="24">
        <f t="shared" si="18"/>
        <v>83021.877038820385</v>
      </c>
      <c r="O167" s="25">
        <f>IF(O3&gt;0,N167/O3/12,0)</f>
        <v>0.73244860129318434</v>
      </c>
    </row>
    <row r="168" spans="2:15" ht="27.6" x14ac:dyDescent="0.3">
      <c r="B168" s="18">
        <v>149</v>
      </c>
      <c r="C168" s="19" t="s">
        <v>453</v>
      </c>
      <c r="D168" s="20" t="s">
        <v>454</v>
      </c>
      <c r="E168" s="20" t="s">
        <v>455</v>
      </c>
      <c r="F168" s="21">
        <v>16.190000000000001</v>
      </c>
      <c r="G168" s="22">
        <v>2</v>
      </c>
      <c r="H168" s="23">
        <f>F168 * G168 * 639.054</f>
        <v>20692.568520000001</v>
      </c>
      <c r="I168" s="23">
        <f t="shared" si="20"/>
        <v>0</v>
      </c>
      <c r="J168" s="23">
        <f t="shared" si="19"/>
        <v>0</v>
      </c>
      <c r="K168" s="23">
        <f>F168 * G168 * 608.507219</f>
        <v>19703.463751219999</v>
      </c>
      <c r="L168" s="23">
        <f>F168 * G168 * 145.101748</f>
        <v>4698.3946002399998</v>
      </c>
      <c r="M168" s="23">
        <f>F168 * G168 * 127.8108</f>
        <v>4138.513704</v>
      </c>
      <c r="N168" s="24">
        <f t="shared" si="18"/>
        <v>49232.940575459994</v>
      </c>
      <c r="O168" s="25">
        <f>IF(O3&gt;0,N168/O3/12,0)</f>
        <v>0.43435055612130374</v>
      </c>
    </row>
    <row r="169" spans="2:15" x14ac:dyDescent="0.3">
      <c r="B169" s="18">
        <v>150</v>
      </c>
      <c r="C169" s="19" t="s">
        <v>456</v>
      </c>
      <c r="D169" s="20" t="s">
        <v>457</v>
      </c>
      <c r="E169" s="20" t="s">
        <v>458</v>
      </c>
      <c r="F169" s="21">
        <v>16.190000000000001</v>
      </c>
      <c r="G169" s="22">
        <v>2</v>
      </c>
      <c r="H169" s="23">
        <f>F169 * G169 * 196.632</f>
        <v>6366.9441600000009</v>
      </c>
      <c r="I169" s="23">
        <f t="shared" si="20"/>
        <v>0</v>
      </c>
      <c r="J169" s="23">
        <f t="shared" si="19"/>
        <v>0</v>
      </c>
      <c r="K169" s="23">
        <f>F169 * G169 * 187.23299</f>
        <v>6062.6042162000003</v>
      </c>
      <c r="L169" s="23">
        <f>F169 * G169 * 44.646692</f>
        <v>1445.6598869600002</v>
      </c>
      <c r="M169" s="23">
        <f>F169 * G169 * 39.3264</f>
        <v>1273.3888320000001</v>
      </c>
      <c r="N169" s="24">
        <f t="shared" si="18"/>
        <v>15148.597095160001</v>
      </c>
      <c r="O169" s="25">
        <f>IF(O3&gt;0,N169/O3/12,0)</f>
        <v>0.13364632491645229</v>
      </c>
    </row>
    <row r="170" spans="2:15" x14ac:dyDescent="0.3">
      <c r="B170" s="18">
        <v>151</v>
      </c>
      <c r="C170" s="19" t="s">
        <v>459</v>
      </c>
      <c r="D170" s="20" t="s">
        <v>460</v>
      </c>
      <c r="E170" s="20" t="s">
        <v>461</v>
      </c>
      <c r="F170" s="21">
        <v>150</v>
      </c>
      <c r="G170" s="22">
        <v>2</v>
      </c>
      <c r="H170" s="23">
        <f>F170 * G170 * 95.317362</f>
        <v>28595.208600000002</v>
      </c>
      <c r="I170" s="23">
        <f t="shared" si="20"/>
        <v>0</v>
      </c>
      <c r="J170" s="23">
        <f t="shared" si="19"/>
        <v>0</v>
      </c>
      <c r="K170" s="23">
        <f>F170 * G170 * 90.761192</f>
        <v>27228.357599999999</v>
      </c>
      <c r="L170" s="23">
        <f>F170 * G170 * 21.642484</f>
        <v>6492.7452000000003</v>
      </c>
      <c r="M170" s="23">
        <f>F170 * G170 * 19.063472</f>
        <v>5719.0416000000005</v>
      </c>
      <c r="N170" s="24">
        <f t="shared" si="18"/>
        <v>68035.353000000003</v>
      </c>
      <c r="O170" s="25">
        <f>IF(O3&gt;0,N170/O3/12,0)</f>
        <v>0.60023214266809233</v>
      </c>
    </row>
    <row r="171" spans="2:15" ht="27.6" x14ac:dyDescent="0.3">
      <c r="B171" s="18">
        <v>152</v>
      </c>
      <c r="C171" s="19" t="s">
        <v>462</v>
      </c>
      <c r="D171" s="20" t="s">
        <v>463</v>
      </c>
      <c r="E171" s="20" t="s">
        <v>464</v>
      </c>
      <c r="F171" s="21">
        <v>4.57</v>
      </c>
      <c r="G171" s="22">
        <v>5</v>
      </c>
      <c r="H171" s="23">
        <f>F171 * G171 * 0</f>
        <v>0</v>
      </c>
      <c r="I171" s="23">
        <f t="shared" si="20"/>
        <v>0</v>
      </c>
      <c r="J171" s="23">
        <f>F171 * G171 * 100.65264</f>
        <v>2299.9128240000005</v>
      </c>
      <c r="K171" s="23">
        <f>F171 * G171 * 43.417674</f>
        <v>992.09385090000001</v>
      </c>
      <c r="L171" s="23">
        <f>F171 * G171 * 16.16152</f>
        <v>369.29073199999999</v>
      </c>
      <c r="M171" s="23">
        <f>F171 * G171 * 9.119444</f>
        <v>208.37929540000002</v>
      </c>
      <c r="N171" s="24">
        <f t="shared" si="18"/>
        <v>3869.6767023000007</v>
      </c>
      <c r="O171" s="25">
        <f>IF(O3&gt;0,N171/O3/12,0)</f>
        <v>3.4139667629185771E-2</v>
      </c>
    </row>
    <row r="172" spans="2:15" ht="27.6" x14ac:dyDescent="0.3">
      <c r="B172" s="18">
        <v>153</v>
      </c>
      <c r="C172" s="19" t="s">
        <v>465</v>
      </c>
      <c r="D172" s="20" t="s">
        <v>466</v>
      </c>
      <c r="E172" s="20" t="s">
        <v>63</v>
      </c>
      <c r="F172" s="21">
        <v>0.75</v>
      </c>
      <c r="G172" s="22">
        <v>123.5</v>
      </c>
      <c r="H172" s="23">
        <f>F172 * G172 * 226.1268</f>
        <v>20944.994849999999</v>
      </c>
      <c r="I172" s="23">
        <f t="shared" si="20"/>
        <v>0</v>
      </c>
      <c r="J172" s="23">
        <f>F172 * G172 * 0</f>
        <v>0</v>
      </c>
      <c r="K172" s="23">
        <f>F172 * G172 * 215.317939</f>
        <v>19943.824099875001</v>
      </c>
      <c r="L172" s="23">
        <f>F172 * G172 * 51.343695</f>
        <v>4755.7097493749998</v>
      </c>
      <c r="M172" s="23">
        <f>F172 * G172 * 45.22536</f>
        <v>4188.9989700000006</v>
      </c>
      <c r="N172" s="24">
        <f t="shared" si="18"/>
        <v>49833.527669249997</v>
      </c>
      <c r="O172" s="25">
        <f>IF(O3&gt;0,N172/O3/12,0)</f>
        <v>0.43964914960643459</v>
      </c>
    </row>
    <row r="173" spans="2:15" ht="27.6" x14ac:dyDescent="0.3">
      <c r="B173" s="18">
        <v>154</v>
      </c>
      <c r="C173" s="19" t="s">
        <v>467</v>
      </c>
      <c r="D173" s="20" t="s">
        <v>468</v>
      </c>
      <c r="E173" s="20" t="s">
        <v>63</v>
      </c>
      <c r="F173" s="21">
        <v>0.75</v>
      </c>
      <c r="G173" s="22">
        <v>123.5</v>
      </c>
      <c r="H173" s="23">
        <f>F173 * G173 * 41.7843</f>
        <v>3870.2707875000001</v>
      </c>
      <c r="I173" s="23">
        <f>F173 * G173 * 0.236805</f>
        <v>21.934063124999998</v>
      </c>
      <c r="J173" s="23">
        <f>F173 * G173 * 0</f>
        <v>0</v>
      </c>
      <c r="K173" s="23">
        <f>F173 * G173 * 39.7870099999999</f>
        <v>3685.2718012499909</v>
      </c>
      <c r="L173" s="23">
        <f>F173 * G173 * 9.512405</f>
        <v>881.0865131249999</v>
      </c>
      <c r="M173" s="23">
        <f>F173 * G173 * 8.35686</f>
        <v>774.05415749999997</v>
      </c>
      <c r="N173" s="24">
        <f t="shared" si="18"/>
        <v>9232.6173224999911</v>
      </c>
      <c r="O173" s="25">
        <f>IF(O3&gt;0,N173/O3/12,0)</f>
        <v>8.1453441976243074E-2</v>
      </c>
    </row>
    <row r="174" spans="2:15" x14ac:dyDescent="0.3">
      <c r="B174" s="18">
        <v>155</v>
      </c>
      <c r="C174" s="19" t="s">
        <v>469</v>
      </c>
      <c r="D174" s="20" t="s">
        <v>470</v>
      </c>
      <c r="E174" s="20" t="s">
        <v>63</v>
      </c>
      <c r="F174" s="21">
        <v>0.16</v>
      </c>
      <c r="G174" s="22">
        <v>123.5</v>
      </c>
      <c r="H174" s="23">
        <f>F174 * G174 * 983.16</f>
        <v>19427.241600000001</v>
      </c>
      <c r="I174" s="23">
        <f>F174 * G174 * 0</f>
        <v>0</v>
      </c>
      <c r="J174" s="23">
        <f>F174 * G174 * 0</f>
        <v>0</v>
      </c>
      <c r="K174" s="23">
        <f>F174 * G174 * 936.164952</f>
        <v>18498.61945152</v>
      </c>
      <c r="L174" s="23">
        <f>F174 * G174 * 223.233458999999</f>
        <v>4411.0931498399805</v>
      </c>
      <c r="M174" s="23">
        <f>F174 * G174 * 196.632</f>
        <v>3885.4483200000004</v>
      </c>
      <c r="N174" s="24">
        <f t="shared" si="18"/>
        <v>46222.402521359982</v>
      </c>
      <c r="O174" s="25">
        <f>IF(O3&gt;0,N174/O3/12,0)</f>
        <v>0.40779051597869914</v>
      </c>
    </row>
    <row r="175" spans="2:15" x14ac:dyDescent="0.3">
      <c r="B175" s="18">
        <v>156</v>
      </c>
      <c r="C175" s="19" t="s">
        <v>471</v>
      </c>
      <c r="D175" s="20" t="s">
        <v>472</v>
      </c>
      <c r="E175" s="20" t="s">
        <v>439</v>
      </c>
      <c r="F175" s="21">
        <v>0.16</v>
      </c>
      <c r="G175" s="22">
        <v>247</v>
      </c>
      <c r="H175" s="23">
        <f>F175 * G175 * 398.1798</f>
        <v>15736.065696000001</v>
      </c>
      <c r="I175" s="23">
        <f>F175 * G175 * 2.26728</f>
        <v>89.6029056</v>
      </c>
      <c r="J175" s="23">
        <f>F175 * G175 * 0</f>
        <v>0</v>
      </c>
      <c r="K175" s="23">
        <f>F175 * G175 * 379.146805999999</f>
        <v>14983.881773119962</v>
      </c>
      <c r="L175" s="23">
        <f>F175 * G175 * 90.648748</f>
        <v>3582.43852096</v>
      </c>
      <c r="M175" s="23">
        <f>F175 * G175 * 79.63596</f>
        <v>3147.2131392000001</v>
      </c>
      <c r="N175" s="24">
        <f t="shared" si="18"/>
        <v>37539.202034879963</v>
      </c>
      <c r="O175" s="25">
        <f>IF(O3&gt;0,N175/O3/12,0)</f>
        <v>0.33118422522841046</v>
      </c>
    </row>
    <row r="176" spans="2:15" s="15" customFormat="1" ht="14.4" x14ac:dyDescent="0.3">
      <c r="B176" s="16"/>
      <c r="C176" s="17" t="s">
        <v>473</v>
      </c>
      <c r="D176" s="32" t="s">
        <v>474</v>
      </c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2:15" ht="41.4" x14ac:dyDescent="0.3">
      <c r="B177" s="18">
        <v>157</v>
      </c>
      <c r="C177" s="19" t="s">
        <v>475</v>
      </c>
      <c r="D177" s="20" t="s">
        <v>476</v>
      </c>
      <c r="E177" s="20" t="s">
        <v>477</v>
      </c>
      <c r="F177" s="21">
        <v>2.4990000000000001</v>
      </c>
      <c r="G177" s="22">
        <v>2</v>
      </c>
      <c r="H177" s="23">
        <f>F177 * G177 * 1550.77104</f>
        <v>7750.7536579200005</v>
      </c>
      <c r="I177" s="23">
        <f>F177 * G177 * 59.5584</f>
        <v>297.6728832</v>
      </c>
      <c r="J177" s="23">
        <f>F177 * G177 * 0</f>
        <v>0</v>
      </c>
      <c r="K177" s="23">
        <f>F177 * G177 * 1476.644184</f>
        <v>7380.2676316320003</v>
      </c>
      <c r="L177" s="23">
        <f>F177 * G177 * 358.396985999999</f>
        <v>1791.2681360279951</v>
      </c>
      <c r="M177" s="23">
        <f>F177 * G177 * 310.154208</f>
        <v>1550.1507315839999</v>
      </c>
      <c r="N177" s="24">
        <f>SUM(H177:M177)</f>
        <v>18770.113040363995</v>
      </c>
      <c r="O177" s="25">
        <f>IF(O3&gt;0,N177/O3/12,0)</f>
        <v>0.16559662986300638</v>
      </c>
    </row>
    <row r="178" spans="2:15" ht="41.4" x14ac:dyDescent="0.3">
      <c r="B178" s="18">
        <v>158</v>
      </c>
      <c r="C178" s="19" t="s">
        <v>478</v>
      </c>
      <c r="D178" s="20" t="s">
        <v>479</v>
      </c>
      <c r="E178" s="20" t="s">
        <v>477</v>
      </c>
      <c r="F178" s="21">
        <v>1.2490000000000001</v>
      </c>
      <c r="G178" s="22">
        <v>2</v>
      </c>
      <c r="H178" s="23">
        <f>F178 * G178 * 1104.924366</f>
        <v>2760.1010662680001</v>
      </c>
      <c r="I178" s="23">
        <f>F178 * G178 * 270.72</f>
        <v>676.2585600000001</v>
      </c>
      <c r="J178" s="23">
        <f>F178 * G178 * 0</f>
        <v>0</v>
      </c>
      <c r="K178" s="23">
        <f>F178 * G178 * 1052.10898099999</f>
        <v>2628.1682345379754</v>
      </c>
      <c r="L178" s="23">
        <f>F178 * G178 * 279.441882</f>
        <v>698.04582123600017</v>
      </c>
      <c r="M178" s="23">
        <f>F178 * G178 * 220.984873</f>
        <v>552.020212754</v>
      </c>
      <c r="N178" s="24">
        <f>SUM(H178:M178)</f>
        <v>7314.5938947959758</v>
      </c>
      <c r="O178" s="25">
        <f>IF(O3&gt;0,N178/O3/12,0)</f>
        <v>6.453195541177445E-2</v>
      </c>
    </row>
    <row r="179" spans="2:15" s="26" customFormat="1" ht="19.95" customHeight="1" x14ac:dyDescent="0.3">
      <c r="B179" s="33" t="s">
        <v>480</v>
      </c>
      <c r="C179" s="33"/>
      <c r="D179" s="33"/>
      <c r="E179" s="33"/>
      <c r="F179" s="33"/>
      <c r="G179" s="33"/>
      <c r="H179" s="27">
        <f t="shared" ref="H179:O179" si="21">SUM(H4:H178)</f>
        <v>2530275.4120557136</v>
      </c>
      <c r="I179" s="27">
        <f t="shared" si="21"/>
        <v>459603.6506999699</v>
      </c>
      <c r="J179" s="27">
        <f t="shared" si="21"/>
        <v>4954.9179908800015</v>
      </c>
      <c r="K179" s="27">
        <f t="shared" si="21"/>
        <v>2410328.4380186033</v>
      </c>
      <c r="L179" s="27">
        <f t="shared" si="21"/>
        <v>623655.6070870948</v>
      </c>
      <c r="M179" s="27">
        <f t="shared" si="21"/>
        <v>506265.16297122603</v>
      </c>
      <c r="N179" s="27">
        <f t="shared" si="21"/>
        <v>6535083.1888234867</v>
      </c>
      <c r="O179" s="28">
        <f t="shared" si="21"/>
        <v>57.654834023448835</v>
      </c>
    </row>
  </sheetData>
  <mergeCells count="21">
    <mergeCell ref="B179:G179"/>
    <mergeCell ref="D94:O94"/>
    <mergeCell ref="D96:O96"/>
    <mergeCell ref="D144:O144"/>
    <mergeCell ref="D158:O158"/>
    <mergeCell ref="D176:O176"/>
    <mergeCell ref="D53:O53"/>
    <mergeCell ref="D56:O56"/>
    <mergeCell ref="D62:O62"/>
    <mergeCell ref="D68:O68"/>
    <mergeCell ref="D75:O75"/>
    <mergeCell ref="D23:O23"/>
    <mergeCell ref="D25:O25"/>
    <mergeCell ref="D30:O30"/>
    <mergeCell ref="D41:O41"/>
    <mergeCell ref="D46:O46"/>
    <mergeCell ref="B2:L3"/>
    <mergeCell ref="M2:N2"/>
    <mergeCell ref="M3:N3"/>
    <mergeCell ref="D4:O4"/>
    <mergeCell ref="D13:O13"/>
  </mergeCells>
  <pageMargins left="0.7" right="0.7" top="0.75" bottom="0.75" header="0.3" footer="0.3"/>
  <pageSetup paperSize="9" fitToHeight="0" orientation="landscape" horizontalDpi="4294967295" verticalDpi="4294967295"/>
  <headerFooter>
    <oddHeader>&amp;C&amp;KCCCCCC&amp;"Arial"1.7 МКД квартирного типа с лифтом, без мусоропровода, с газоснабжением, с уборкой мест общего пользования и придомовой территории ООО Квартал</oddHeader>
    <oddFooter>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Смета!Заголовки_для_печати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1.7 МКД квартирного типа с лифтом, без мусоропровода, с газоснабжением, с уборкой мест общего пользования и придомовой территории ООО Квартал</dc:title>
  <dc:subject/>
  <dc:creator/>
  <cp:keywords/>
  <dc:description/>
  <cp:lastModifiedBy/>
  <cp:lastPrinted>2024-11-25T09:10:07Z</cp:lastPrinted>
  <dcterms:created xsi:type="dcterms:W3CDTF">2024-11-25T09:10:07Z</dcterms:created>
  <dcterms:modified xsi:type="dcterms:W3CDTF">2024-11-25T09:14:02Z</dcterms:modified>
  <cp:category/>
</cp:coreProperties>
</file>